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Settings" sheetId="3" state="visible" r:id="rId3"/>
    <sheet xmlns:r="http://schemas.openxmlformats.org/officeDocument/2006/relationships" name="Register" sheetId="4" state="visible" r:id="rId4"/>
    <sheet xmlns:r="http://schemas.openxmlformats.org/officeDocument/2006/relationships" name="Lists" sheetId="5" state="visible" r:id="rId5"/>
  </sheets>
  <definedNames>
    <definedName name="PROJ">Settings!$B$5</definedName>
    <definedName name="CLIENT">Settings!$B$6</definedName>
    <definedName name="PROJNAME">Settings!$B$7</definedName>
    <definedName name="DATADATE">Settings!$B$8</definedName>
    <definedName name="WEEKEND">Settings!$B$9</definedName>
    <definedName name="TA_SUB">Settings!$B$10</definedName>
    <definedName name="TA_RFI">Settings!$B$11</definedName>
    <definedName name="TA_IR">Settings!$B$12</definedName>
    <definedName name="TA_SOR">Settings!$B$13</definedName>
    <definedName name="TA_NCR">Settings!$B$14</definedName>
    <definedName name="TA_SI">Settings!$B$15</definedName>
    <definedName name="TA_SVR">Settings!$B$16</definedName>
    <definedName name="TA_TRN">Settings!$B$17</definedName>
    <definedName name="TA_MOM">Settings!$B$18</definedName>
    <definedName name="TA_CMT">Settings!$B$19</definedName>
    <definedName name="TA_VO">Settings!$B$20</definedName>
    <definedName name="TA_NOC">Settings!$B$21</definedName>
    <definedName name="WARN_EXP">Settings!$B$22</definedName>
    <definedName name="CONTRACT_SUM">Settings!$B$23</definedName>
    <definedName name="HOL">Settings!$F$5:$F$40</definedName>
    <definedName name="L_ROLE">Lists!$A$5:$A$17</definedName>
    <definedName name="L_REVIEW">Lists!$B$5:$B$10</definedName>
    <definedName name="L_CLIENTDEC">Lists!$C$5:$C$7</definedName>
    <definedName name="L_SUBKIND">Lists!$D$5:$D$12</definedName>
    <definedName name="L_YN">Lists!$E$5:$E$6</definedName>
    <definedName name="L_YNT">Lists!$F$5:$F$7</definedName>
    <definedName name="L_PRIORITY">Lists!$G$5:$G$7</definedName>
    <definedName name="L_RFISTATUS">Lists!$H$5:$H$8</definedName>
    <definedName name="L_PARTY">Lists!$I$5:$I$12</definedName>
    <definedName name="L_NOCGROUP">Lists!$J$5:$J$13</definedName>
    <definedName name="L_GATE">Lists!$K$5:$K$9</definedName>
    <definedName name="L_JURIS">Lists!$L$5:$L$9</definedName>
    <definedName name="L_AUTHORITY">Lists!$M$5:$M$27</definedName>
    <definedName name="L_NOCSTATUS">Lists!$N$5:$N$12</definedName>
    <definedName name="L_RECSTATE">Lists!$O$5:$O$9</definedName>
    <definedName name="L_SUIT">Lists!$P$5:$P$9</definedName>
    <definedName name="L_CDE">Lists!$Q$5:$Q$8</definedName>
    <definedName name="L_STAGE">Lists!$R$5:$R$12</definedName>
    <definedName name="L_SISTATUS">Lists!$S$5:$S$9</definedName>
    <definedName name="L_IMPACT">Lists!$T$5:$T$7</definedName>
    <definedName name="L_NCRKIND">Lists!$U$5:$U$7</definedName>
    <definedName name="L_NCRREF">Lists!$V$5:$V$10</definedName>
    <definedName name="L_ROOT">Lists!$W$5:$W$13</definedName>
    <definedName name="L_SEV">Lists!$X$5:$X$6</definedName>
    <definedName name="L_AGREE">Lists!$Y$5:$Y$6</definedName>
    <definedName name="L_DECISION3">Lists!$Z$5:$Z$7</definedName>
    <definedName name="L_VOKIND">Lists!$AA$5:$AA$8</definedName>
    <definedName name="L_VOSTATUS">Lists!$AB$5:$AB$10</definedName>
    <definedName name="L_MTYPE">Lists!$AC$5:$AC$11</definedName>
    <definedName name="L_ACTSTATUS">Lists!$AD$5:$AD$9</definedName>
    <definedName name="L_DCNORIGIN">Lists!$AE$5:$AE$10</definedName>
    <definedName name="L_DCNDEC">Lists!$AF$5:$AF$8</definedName>
    <definedName name="L_DELSTATUS">Lists!$AG$5:$AG$11</definedName>
    <definedName name="L_IRKIND">Lists!$AH$5:$AH$6</definedName>
    <definedName name="L_HOLDPT">Lists!$AI$5:$AI$7</definedName>
    <definedName name="L_HOCAT">Lists!$AJ$5:$AJ$16</definedName>
    <definedName name="L_FORMAT">Lists!$AK$5:$AK$7</definedName>
    <definedName name="L_HOSTATUS">Lists!$AL$5:$AL$9</definedName>
    <definedName name="L_CMTLEVEL">Lists!$AM$5:$AM$9</definedName>
    <definedName name="L_REVIEWER">Lists!$AN$5:$AN$12</definedName>
    <definedName name="L_DISPO">Lists!$AO$5:$AO$7</definedName>
    <definedName name="L_OPENCLOSED">Lists!$AP$5:$AP$6</definedName>
    <definedName name="_xlnm._FilterDatabase" localSheetId="3" hidden="1">'Register'!$A$5:$AP$505</definedName>
    <definedName name="_xlnm.Print_Titles" localSheetId="3">'Register'!$5:$5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-mmm-yyyy"/>
    <numFmt numFmtId="165" formatCode="dd-mmm-yy"/>
    <numFmt numFmtId="166" formatCode="&quot;R&quot;00"/>
  </numFmts>
  <fonts count="10">
    <font>
      <name val="Calibri"/>
      <family val="2"/>
      <color theme="1"/>
      <sz val="11"/>
      <scheme val="minor"/>
    </font>
    <font>
      <name val="Inter"/>
      <b val="1"/>
      <color rgb="009A7B45"/>
      <sz val="14"/>
    </font>
    <font>
      <name val="Inter"/>
      <i val="1"/>
      <color rgb="003A3A3C"/>
      <sz val="9"/>
    </font>
    <font>
      <name val="Inter"/>
      <b val="1"/>
      <color rgb="009A7B45"/>
      <sz val="9"/>
    </font>
    <font>
      <name val="Inter"/>
      <color rgb="0014130F"/>
      <sz val="9"/>
    </font>
    <font>
      <name val="Inter"/>
      <b val="1"/>
      <color rgb="009A7B45"/>
      <sz val="11"/>
    </font>
    <font>
      <name val="Inter"/>
      <b val="1"/>
      <color rgb="00FFFFFF"/>
      <sz val="9"/>
    </font>
    <font>
      <name val="Inter"/>
      <sz val="9"/>
    </font>
    <font>
      <name val="Inter"/>
      <b val="1"/>
      <sz val="9"/>
    </font>
    <font>
      <name val="Inter"/>
      <b val="1"/>
      <color rgb="00111113"/>
      <sz val="9"/>
    </font>
  </fonts>
  <fills count="4">
    <fill>
      <patternFill/>
    </fill>
    <fill>
      <patternFill patternType="gray125"/>
    </fill>
    <fill>
      <patternFill patternType="solid">
        <fgColor rgb="00111113"/>
      </patternFill>
    </fill>
    <fill>
      <patternFill patternType="solid">
        <fgColor rgb="00F4F1EA"/>
      </patternFill>
    </fill>
  </fills>
  <borders count="2">
    <border>
      <left/>
      <right/>
      <top/>
      <bottom/>
      <diagonal/>
    </border>
    <border>
      <left style="thin">
        <color rgb="00D9D3C4"/>
      </left>
      <right style="thin">
        <color rgb="00D9D3C4"/>
      </right>
      <top style="thin">
        <color rgb="00D9D3C4"/>
      </top>
      <bottom style="thin">
        <color rgb="00D9D3C4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9" fillId="0" borderId="0" pivotButton="0" quotePrefix="0" xfId="0"/>
    <xf numFmtId="0" fontId="8" fillId="0" borderId="1" applyAlignment="1" pivotButton="0" quotePrefix="0" xfId="0">
      <alignment vertical="top" wrapText="1"/>
    </xf>
    <xf numFmtId="9" fontId="8" fillId="0" borderId="1" applyAlignment="1" pivotButton="0" quotePrefix="0" xfId="0">
      <alignment vertical="top" wrapText="1"/>
    </xf>
    <xf numFmtId="0" fontId="8" fillId="0" borderId="0" pivotButton="0" quotePrefix="0" xfId="0"/>
    <xf numFmtId="0" fontId="7" fillId="3" borderId="1" applyAlignment="1" pivotButton="0" quotePrefix="0" xfId="0">
      <alignment vertical="top" wrapText="1"/>
    </xf>
    <xf numFmtId="164" fontId="0" fillId="3" borderId="1" pivotButton="0" quotePrefix="0" xfId="0"/>
    <xf numFmtId="164" fontId="7" fillId="3" borderId="1" applyAlignment="1" pivotButton="0" quotePrefix="0" xfId="0">
      <alignment vertical="top" wrapText="1"/>
    </xf>
    <xf numFmtId="0" fontId="7" fillId="3" borderId="1" pivotButton="0" quotePrefix="0" xfId="0"/>
    <xf numFmtId="0" fontId="7" fillId="0" borderId="1" pivotButton="0" quotePrefix="0" xfId="0"/>
    <xf numFmtId="165" fontId="7" fillId="0" borderId="1" pivotButton="0" quotePrefix="0" xfId="0"/>
    <xf numFmtId="166" fontId="7" fillId="0" borderId="1" pivotButton="0" quotePrefix="0" xfId="0"/>
    <xf numFmtId="165" fontId="7" fillId="3" borderId="1" pivotButton="0" quotePrefix="0" xfId="0"/>
    <xf numFmtId="0" fontId="6" fillId="2" borderId="0" pivotButton="0" quotePrefix="0" xfId="0"/>
    <xf numFmtId="0" fontId="7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4F1EA"/>
        </patternFill>
      </fill>
    </dxf>
    <dxf>
      <font>
        <b val="1"/>
        <color rgb="009A7B45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0</row>
      <rowOff>0</rowOff>
    </from>
    <ext cx="142875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Inter"/>
        <a:font script="Hebr" typeface="Inter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Inter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9A7B45"/>
    <outlinePr summaryBelow="1" summaryRight="1"/>
    <pageSetUpPr/>
  </sheetPr>
  <dimension ref="A1:D61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28" customWidth="1" min="2" max="2"/>
    <col width="18" customWidth="1" min="3" max="3"/>
    <col width="90" customWidth="1" min="4" max="4"/>
  </cols>
  <sheetData>
    <row r="1">
      <c r="A1" s="1" t="inlineStr">
        <is>
          <t>TRK-NOC Authority submissions and NOC register (BBM-STD-57 submission register in working form)</t>
        </is>
      </c>
    </row>
    <row r="2">
      <c r="A2" s="2" t="inlineStr">
        <is>
          <t>One row per authority submission cycle, in the office authority sequence (registration, studies, NOCs, preparatory, access, municipality, design, construction, completion).</t>
        </is>
      </c>
    </row>
    <row r="8">
      <c r="A8" s="3" t="inlineStr">
        <is>
          <t>How to use</t>
        </is>
      </c>
    </row>
    <row r="9">
      <c r="A9" s="4" t="inlineStr">
        <is>
          <t>1. Save a copy into the project folder as a container named CLIENT-BBM-PROJ-ZZ-XX-SH-Z-NNNN.xlsx (O-DEC-177). Never work in this library copy.</t>
        </is>
      </c>
    </row>
    <row r="10">
      <c r="A10" s="4" t="inlineStr">
        <is>
          <t>2. Fill Settings first: project code, client code, holidays. Contract turnaround days replace the office defaults.</t>
        </is>
      </c>
    </row>
    <row r="11">
      <c r="A11" s="4" t="inlineStr">
        <is>
          <t>3. Type only in white cells. Grey cells are formulas (record ID, due date, ageing, overdue, current revision): do not overwrite them.</t>
        </is>
      </c>
    </row>
    <row r="12">
      <c r="A12" s="4" t="inlineStr">
        <is>
          <t>4. A resubmission is a new row with the same Seq and the next Rev; never overwrite a returned row (O-DEC-175).</t>
        </is>
      </c>
    </row>
    <row r="13">
      <c r="A13" s="4" t="inlineStr">
        <is>
          <t>5. Close a row only with its evidence link (signed form, transmittal or authority decision in the CDE); never delete a row: set it Void with a reason (O-DEC-179).</t>
        </is>
      </c>
    </row>
    <row r="14">
      <c r="A14" s="4" t="inlineStr">
        <is>
          <t>6. For a report, set Settings Data date to the report date, print the Dashboard to PDF and file it with the period and population (O-DEC-180).</t>
        </is>
      </c>
    </row>
    <row r="15">
      <c r="A15" s="4" t="inlineStr">
        <is>
          <t>7. Rules: BBM-STD-99 Project trackers and registers; BBM-STD-13 Architect of Record services; BBM-STD-97 QP-07/09/10 (04-DOCUMENTS).</t>
        </is>
      </c>
    </row>
    <row r="16">
      <c r="A16" s="4" t="inlineStr">
        <is>
          <t>Office form for each record: Authority checklists per BBM-STD-85; QP-07 checklist 06-SUBMISSIONS.</t>
        </is>
      </c>
    </row>
    <row r="18">
      <c r="A18" s="5" t="inlineStr">
        <is>
          <t>Fields</t>
        </is>
      </c>
    </row>
    <row r="19">
      <c r="A19" s="6" t="inlineStr">
        <is>
          <t>Sheet</t>
        </is>
      </c>
      <c r="B19" s="6" t="inlineStr">
        <is>
          <t>Field</t>
        </is>
      </c>
      <c r="C19" s="6" t="inlineStr">
        <is>
          <t>Type</t>
        </is>
      </c>
      <c r="D19" s="6" t="inlineStr">
        <is>
          <t>Rule</t>
        </is>
      </c>
    </row>
    <row r="20">
      <c r="A20" s="7" t="inlineStr">
        <is>
          <t>Register</t>
        </is>
      </c>
      <c r="B20" s="7" t="inlineStr">
        <is>
          <t>SubmissionID</t>
        </is>
      </c>
      <c r="C20" s="7" t="inlineStr">
        <is>
          <t>formula</t>
        </is>
      </c>
      <c r="D20" s="7" t="inlineStr">
        <is>
          <t>Formula: PROJ-NOC-ROLE-NNNN; the BBM-STD-57 SubmissionID</t>
        </is>
      </c>
    </row>
    <row r="21">
      <c r="A21" s="7" t="inlineStr">
        <is>
          <t>Register</t>
        </is>
      </c>
      <c r="B21" s="7" t="inlineStr">
        <is>
          <t>ProjectID</t>
        </is>
      </c>
      <c r="C21" s="7" t="inlineStr">
        <is>
          <t>formula</t>
        </is>
      </c>
      <c r="D21" s="7" t="inlineStr">
        <is>
          <t>Formula from Settings</t>
        </is>
      </c>
    </row>
    <row r="22">
      <c r="A22" s="7" t="inlineStr">
        <is>
          <t>Register</t>
        </is>
      </c>
      <c r="B22" s="7" t="inlineStr">
        <is>
          <t>PlotID</t>
        </is>
      </c>
      <c r="C22" s="7" t="inlineStr">
        <is>
          <t>text</t>
        </is>
      </c>
      <c r="D22" s="7" t="inlineStr">
        <is>
          <t>Plot / affection plan reference</t>
        </is>
      </c>
    </row>
    <row r="23">
      <c r="A23" s="7" t="inlineStr">
        <is>
          <t>Register</t>
        </is>
      </c>
      <c r="B23" s="7" t="inlineStr">
        <is>
          <t>Gate</t>
        </is>
      </c>
      <c r="C23" s="7" t="inlineStr">
        <is>
          <t>list GATE</t>
        </is>
      </c>
      <c r="D23" s="7" t="inlineStr">
        <is>
          <t>BBM-STD-93 §6 authority gate</t>
        </is>
      </c>
    </row>
    <row r="24">
      <c r="A24" s="7" t="inlineStr">
        <is>
          <t>Register</t>
        </is>
      </c>
      <c r="B24" s="7" t="inlineStr">
        <is>
          <t>Authority</t>
        </is>
      </c>
      <c r="C24" s="7" t="inlineStr">
        <is>
          <t>list AUTHORITY</t>
        </is>
      </c>
      <c r="D24" s="7" t="inlineStr"/>
    </row>
    <row r="25">
      <c r="A25" s="7" t="inlineStr">
        <is>
          <t>Register</t>
        </is>
      </c>
      <c r="B25" s="7" t="inlineStr">
        <is>
          <t>Service and profile ID</t>
        </is>
      </c>
      <c r="C25" s="7" t="inlineStr">
        <is>
          <t>text</t>
        </is>
      </c>
      <c r="D25" s="7" t="inlineStr">
        <is>
          <t>Authority service, NOC or permit (BBM-STD-85 profile)</t>
        </is>
      </c>
    </row>
    <row r="26">
      <c r="A26" s="7" t="inlineStr">
        <is>
          <t>Register</t>
        </is>
      </c>
      <c r="B26" s="7" t="inlineStr">
        <is>
          <t>InstrumentIDs</t>
        </is>
      </c>
      <c r="C26" s="7" t="inlineStr">
        <is>
          <t>text</t>
        </is>
      </c>
      <c r="D26" s="7" t="inlineStr">
        <is>
          <t>BBM-STD-57 codes register rows</t>
        </is>
      </c>
    </row>
    <row r="27">
      <c r="A27" s="7" t="inlineStr">
        <is>
          <t>Register</t>
        </is>
      </c>
      <c r="B27" s="7" t="inlineStr">
        <is>
          <t>Required contents</t>
        </is>
      </c>
      <c r="C27" s="7" t="inlineStr">
        <is>
          <t>text</t>
        </is>
      </c>
      <c r="D27" s="7" t="inlineStr">
        <is>
          <t>Checklist revision downloaded on the submission date</t>
        </is>
      </c>
    </row>
    <row r="28">
      <c r="A28" s="7" t="inlineStr">
        <is>
          <t>Register</t>
        </is>
      </c>
      <c r="B28" s="7" t="inlineStr">
        <is>
          <t>Prerequisite IDs</t>
        </is>
      </c>
      <c r="C28" s="7" t="inlineStr">
        <is>
          <t>text</t>
        </is>
      </c>
      <c r="D28" s="7" t="inlineStr"/>
    </row>
    <row r="29">
      <c r="A29" s="7" t="inlineStr">
        <is>
          <t>Register</t>
        </is>
      </c>
      <c r="B29" s="7" t="inlineStr">
        <is>
          <t>NOC dependency IDs</t>
        </is>
      </c>
      <c r="C29" s="7" t="inlineStr">
        <is>
          <t>text</t>
        </is>
      </c>
      <c r="D29" s="7" t="inlineStr"/>
    </row>
    <row r="30">
      <c r="A30" s="7" t="inlineStr">
        <is>
          <t>Register</t>
        </is>
      </c>
      <c r="B30" s="7" t="inlineStr">
        <is>
          <t>Producer</t>
        </is>
      </c>
      <c r="C30" s="7" t="inlineStr">
        <is>
          <t>text</t>
        </is>
      </c>
      <c r="D30" s="7" t="inlineStr"/>
    </row>
    <row r="31">
      <c r="A31" s="7" t="inlineStr">
        <is>
          <t>Register</t>
        </is>
      </c>
      <c r="B31" s="7" t="inlineStr">
        <is>
          <t>Checker</t>
        </is>
      </c>
      <c r="C31" s="7" t="inlineStr">
        <is>
          <t>text</t>
        </is>
      </c>
      <c r="D31" s="7" t="inlineStr"/>
    </row>
    <row r="32">
      <c r="A32" s="7" t="inlineStr">
        <is>
          <t>Register</t>
        </is>
      </c>
      <c r="B32" s="7" t="inlineStr">
        <is>
          <t>Authoriser</t>
        </is>
      </c>
      <c r="C32" s="7" t="inlineStr">
        <is>
          <t>text</t>
        </is>
      </c>
      <c r="D32" s="7" t="inlineStr">
        <is>
          <t>LAP authorisation before upload</t>
        </is>
      </c>
    </row>
    <row r="33">
      <c r="A33" s="7" t="inlineStr">
        <is>
          <t>Register</t>
        </is>
      </c>
      <c r="B33" s="7" t="inlineStr">
        <is>
          <t>Information recipient</t>
        </is>
      </c>
      <c r="C33" s="7" t="inlineStr">
        <is>
          <t>text</t>
        </is>
      </c>
      <c r="D33" s="7" t="inlineStr"/>
    </row>
    <row r="34">
      <c r="A34" s="7" t="inlineStr">
        <is>
          <t>Register</t>
        </is>
      </c>
      <c r="B34" s="7" t="inlineStr">
        <is>
          <t>Planned date</t>
        </is>
      </c>
      <c r="C34" s="7" t="inlineStr">
        <is>
          <t>date</t>
        </is>
      </c>
      <c r="D34" s="7" t="inlineStr">
        <is>
          <t>Planned submission</t>
        </is>
      </c>
    </row>
    <row r="35">
      <c r="A35" s="7" t="inlineStr">
        <is>
          <t>Register</t>
        </is>
      </c>
      <c r="B35" s="7" t="inlineStr">
        <is>
          <t>Actual receipt</t>
        </is>
      </c>
      <c r="C35" s="7" t="inlineStr">
        <is>
          <t>text</t>
        </is>
      </c>
      <c r="D35" s="7" t="inlineStr">
        <is>
          <t>Authority receipt / application number (required once submitted)</t>
        </is>
      </c>
    </row>
    <row r="36">
      <c r="A36" s="7" t="inlineStr">
        <is>
          <t>Register</t>
        </is>
      </c>
      <c r="B36" s="7" t="inlineStr">
        <is>
          <t>Authority decision</t>
        </is>
      </c>
      <c r="C36" s="7" t="inlineStr">
        <is>
          <t>list NOCSTATUS</t>
        </is>
      </c>
      <c r="D36" s="7" t="inlineStr">
        <is>
          <t>BBM-STD-93 §7 canonical status</t>
        </is>
      </c>
    </row>
    <row r="37">
      <c r="A37" s="7" t="inlineStr">
        <is>
          <t>Register</t>
        </is>
      </c>
      <c r="B37" s="7" t="inlineStr">
        <is>
          <t>Conditions and expiry</t>
        </is>
      </c>
      <c r="C37" s="7" t="inlineStr">
        <is>
          <t>text</t>
        </is>
      </c>
      <c r="D37" s="7" t="inlineStr">
        <is>
          <t>Every condition; activity released only when closed</t>
        </is>
      </c>
    </row>
    <row r="38">
      <c r="A38" s="7" t="inlineStr">
        <is>
          <t>Register</t>
        </is>
      </c>
      <c r="B38" s="7" t="inlineStr">
        <is>
          <t>BoD row</t>
        </is>
      </c>
      <c r="C38" s="7" t="inlineStr">
        <is>
          <t>text</t>
        </is>
      </c>
      <c r="D38" s="7" t="inlineStr">
        <is>
          <t>BBM-STD-12 approval / criterion row</t>
        </is>
      </c>
    </row>
    <row r="39">
      <c r="A39" s="7" t="inlineStr">
        <is>
          <t>Register</t>
        </is>
      </c>
      <c r="B39" s="7" t="inlineStr">
        <is>
          <t>MIDP row</t>
        </is>
      </c>
      <c r="C39" s="7" t="inlineStr">
        <is>
          <t>text</t>
        </is>
      </c>
      <c r="D39" s="7" t="inlineStr"/>
    </row>
    <row r="40">
      <c r="A40" s="7" t="inlineStr">
        <is>
          <t>Register</t>
        </is>
      </c>
      <c r="B40" s="7" t="inlineStr">
        <is>
          <t>State</t>
        </is>
      </c>
      <c r="C40" s="7" t="inlineStr">
        <is>
          <t>list RECSTATE</t>
        </is>
      </c>
      <c r="D40" s="7" t="inlineStr"/>
    </row>
    <row r="41">
      <c r="A41" s="7" t="inlineStr">
        <is>
          <t>Register</t>
        </is>
      </c>
      <c r="B41" s="7" t="inlineStr">
        <is>
          <t>Source revision</t>
        </is>
      </c>
      <c r="C41" s="7" t="inlineStr">
        <is>
          <t>text</t>
        </is>
      </c>
      <c r="D41" s="7" t="inlineStr"/>
    </row>
    <row r="42">
      <c r="A42" s="7" t="inlineStr">
        <is>
          <t>Register</t>
        </is>
      </c>
      <c r="B42" s="7" t="inlineStr">
        <is>
          <t>ChangeID</t>
        </is>
      </c>
      <c r="C42" s="7" t="inlineStr">
        <is>
          <t>text</t>
        </is>
      </c>
      <c r="D42" s="7" t="inlineStr"/>
    </row>
    <row r="43">
      <c r="A43" s="7" t="inlineStr">
        <is>
          <t>Register</t>
        </is>
      </c>
      <c r="B43" s="7" t="inlineStr">
        <is>
          <t>Step</t>
        </is>
      </c>
      <c r="C43" s="7" t="inlineStr">
        <is>
          <t>list NOCGROUP</t>
        </is>
      </c>
      <c r="D43" s="7" t="inlineStr">
        <is>
          <t>Office authority sequence (BBM-STD-13 §5)</t>
        </is>
      </c>
    </row>
    <row r="44">
      <c r="A44" s="7" t="inlineStr">
        <is>
          <t>Register</t>
        </is>
      </c>
      <c r="B44" s="7" t="inlineStr">
        <is>
          <t>Jurisdiction</t>
        </is>
      </c>
      <c r="C44" s="7" t="inlineStr">
        <is>
          <t>list JURIS</t>
        </is>
      </c>
      <c r="D44" s="7" t="inlineStr"/>
    </row>
    <row r="45">
      <c r="A45" s="7" t="inlineStr">
        <is>
          <t>Register</t>
        </is>
      </c>
      <c r="B45" s="7" t="inlineStr">
        <is>
          <t>ROLE</t>
        </is>
      </c>
      <c r="C45" s="7" t="inlineStr">
        <is>
          <t>list ROLE</t>
        </is>
      </c>
      <c r="D45" s="7" t="inlineStr">
        <is>
          <t>Discipline 1-letter ROLE (BBM-STD-93 §2)</t>
        </is>
      </c>
    </row>
    <row r="46">
      <c r="A46" s="7" t="inlineStr">
        <is>
          <t>Register</t>
        </is>
      </c>
      <c r="B46" s="7" t="inlineStr">
        <is>
          <t>Seq</t>
        </is>
      </c>
      <c r="C46" s="7" t="inlineStr">
        <is>
          <t>num</t>
        </is>
      </c>
      <c r="D46" s="7" t="inlineStr">
        <is>
          <t>Sequence per KIND and ROLE, from 1, never reused</t>
        </is>
      </c>
    </row>
    <row r="47">
      <c r="A47" s="7" t="inlineStr">
        <is>
          <t>Register</t>
        </is>
      </c>
      <c r="B47" s="7" t="inlineStr">
        <is>
          <t>Rev</t>
        </is>
      </c>
      <c r="C47" s="7" t="inlineStr">
        <is>
          <t>rev</t>
        </is>
      </c>
      <c r="D47" s="7" t="inlineStr">
        <is>
          <t>Revision 0, 1, 2 … shown R00, R01; a resubmission is a new row with the next revision (O-DEC-175)</t>
        </is>
      </c>
    </row>
    <row r="48">
      <c r="A48" s="7" t="inlineStr">
        <is>
          <t>Register</t>
        </is>
      </c>
      <c r="B48" s="7" t="inlineStr">
        <is>
          <t>Current</t>
        </is>
      </c>
      <c r="C48" s="7" t="inlineStr">
        <is>
          <t>formula</t>
        </is>
      </c>
      <c r="D48" s="7" t="inlineStr">
        <is>
          <t>Formula: Y on the latest revision of the ID; only current rows count on the dashboard</t>
        </is>
      </c>
    </row>
    <row r="49">
      <c r="A49" s="7" t="inlineStr">
        <is>
          <t>Register</t>
        </is>
      </c>
      <c r="B49" s="7" t="inlineStr">
        <is>
          <t>Cycles</t>
        </is>
      </c>
      <c r="C49" s="7" t="inlineStr">
        <is>
          <t>formula</t>
        </is>
      </c>
      <c r="D49" s="7" t="inlineStr">
        <is>
          <t>Formula: number of submissions of this ID</t>
        </is>
      </c>
    </row>
    <row r="50">
      <c r="A50" s="7" t="inlineStr">
        <is>
          <t>Register</t>
        </is>
      </c>
      <c r="B50" s="7" t="inlineStr">
        <is>
          <t>Submitted</t>
        </is>
      </c>
      <c r="C50" s="7" t="inlineStr">
        <is>
          <t>date</t>
        </is>
      </c>
      <c r="D50" s="7" t="inlineStr">
        <is>
          <t>Actual upload date</t>
        </is>
      </c>
    </row>
    <row r="51">
      <c r="A51" s="7" t="inlineStr">
        <is>
          <t>Register</t>
        </is>
      </c>
      <c r="B51" s="7" t="inlineStr">
        <is>
          <t>Service days</t>
        </is>
      </c>
      <c r="C51" s="7" t="inlineStr">
        <is>
          <t>num</t>
        </is>
      </c>
      <c r="D51" s="7" t="inlineStr">
        <is>
          <t>Authority service time; blank = Settings TA_NOC</t>
        </is>
      </c>
    </row>
    <row r="52">
      <c r="A52" s="7" t="inlineStr">
        <is>
          <t>Register</t>
        </is>
      </c>
      <c r="B52" s="7" t="inlineStr">
        <is>
          <t>Decision date</t>
        </is>
      </c>
      <c r="C52" s="7" t="inlineStr">
        <is>
          <t>date</t>
        </is>
      </c>
      <c r="D52" s="7" t="inlineStr">
        <is>
          <t>Date of the authority decision</t>
        </is>
      </c>
    </row>
    <row r="53">
      <c r="A53" s="7" t="inlineStr">
        <is>
          <t>Register</t>
        </is>
      </c>
      <c r="B53" s="7" t="inlineStr">
        <is>
          <t>Expiry date</t>
        </is>
      </c>
      <c r="C53" s="7" t="inlineStr">
        <is>
          <t>date</t>
        </is>
      </c>
      <c r="D53" s="7" t="inlineStr">
        <is>
          <t>From the decision; blank = no expiry stated</t>
        </is>
      </c>
    </row>
    <row r="54">
      <c r="A54" s="7" t="inlineStr">
        <is>
          <t>Register</t>
        </is>
      </c>
      <c r="B54" s="7" t="inlineStr">
        <is>
          <t>Due</t>
        </is>
      </c>
      <c r="C54" s="7" t="inlineStr">
        <is>
          <t>formula</t>
        </is>
      </c>
      <c r="D54" s="7" t="inlineStr">
        <is>
          <t>Formula: Submitted + service days</t>
        </is>
      </c>
    </row>
    <row r="55">
      <c r="A55" s="7" t="inlineStr">
        <is>
          <t>Register</t>
        </is>
      </c>
      <c r="B55" s="7" t="inlineStr">
        <is>
          <t>Days open</t>
        </is>
      </c>
      <c r="C55" s="7" t="inlineStr">
        <is>
          <t>formula</t>
        </is>
      </c>
      <c r="D55" s="7" t="inlineStr">
        <is>
          <t>Formula: Decision date (or the data date) minus Submitted</t>
        </is>
      </c>
    </row>
    <row r="56">
      <c r="A56" s="7" t="inlineStr">
        <is>
          <t>Register</t>
        </is>
      </c>
      <c r="B56" s="7" t="inlineStr">
        <is>
          <t>Overdue</t>
        </is>
      </c>
      <c r="C56" s="7" t="inlineStr">
        <is>
          <t>formula</t>
        </is>
      </c>
      <c r="D56" s="7" t="inlineStr">
        <is>
          <t>Formula: OVERDUE when no Decision date and the data date is past Due</t>
        </is>
      </c>
    </row>
    <row r="57">
      <c r="A57" s="7" t="inlineStr">
        <is>
          <t>Register</t>
        </is>
      </c>
      <c r="B57" s="7" t="inlineStr">
        <is>
          <t>Expiring</t>
        </is>
      </c>
      <c r="C57" s="7" t="inlineStr">
        <is>
          <t>formula</t>
        </is>
      </c>
      <c r="D57" s="7" t="inlineStr">
        <is>
          <t>Formula: EXPIRED / EXPIRING within the warning days</t>
        </is>
      </c>
    </row>
    <row r="58">
      <c r="A58" s="7" t="inlineStr">
        <is>
          <t>Register</t>
        </is>
      </c>
      <c r="B58" s="7" t="inlineStr">
        <is>
          <t>Action by</t>
        </is>
      </c>
      <c r="C58" s="7" t="inlineStr">
        <is>
          <t>list PARTY</t>
        </is>
      </c>
      <c r="D58" s="7" t="inlineStr">
        <is>
          <t>Ball in court</t>
        </is>
      </c>
    </row>
    <row r="59">
      <c r="A59" s="7" t="inlineStr">
        <is>
          <t>Register</t>
        </is>
      </c>
      <c r="B59" s="7" t="inlineStr">
        <is>
          <t>Updates</t>
        </is>
      </c>
      <c r="C59" s="7" t="inlineStr">
        <is>
          <t>text</t>
        </is>
      </c>
      <c r="D59" s="7" t="inlineStr">
        <is>
          <t>Dated log: "dd-mm: what happened"</t>
        </is>
      </c>
    </row>
    <row r="60">
      <c r="A60" s="7" t="inlineStr">
        <is>
          <t>Register</t>
        </is>
      </c>
      <c r="B60" s="7" t="inlineStr">
        <is>
          <t>Evidence (CDE link)</t>
        </is>
      </c>
      <c r="C60" s="7" t="inlineStr">
        <is>
          <t>text</t>
        </is>
      </c>
      <c r="D60" s="7" t="inlineStr">
        <is>
          <t>Link to the signed form, transmittal or decision; required to close (O-DEC-179)</t>
        </is>
      </c>
    </row>
    <row r="61">
      <c r="A61" s="7" t="inlineStr">
        <is>
          <t>Register</t>
        </is>
      </c>
      <c r="B61" s="7" t="inlineStr">
        <is>
          <t>Remarks</t>
        </is>
      </c>
      <c r="C61" s="7" t="inlineStr">
        <is>
          <t>text</t>
        </is>
      </c>
      <c r="D61" s="7" t="inlineStr">
        <is>
          <t>Free text; "held: &lt;condition&gt;" when the office refuses to sign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9A7B45"/>
    <outlinePr summaryBelow="1" summaryRight="1"/>
    <pageSetUpPr/>
  </sheetPr>
  <dimension ref="A1:I37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4" customWidth="1" min="2" max="2"/>
    <col width="42" customWidth="1" min="3" max="3"/>
    <col width="34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</cols>
  <sheetData>
    <row r="1">
      <c r="A1" s="1" t="inlineStr">
        <is>
          <t>TRK-NOC dashboard</t>
        </is>
      </c>
    </row>
    <row r="2">
      <c r="A2" s="2" t="inlineStr">
        <is>
          <t>Counts, ageing and KPIs from the register; every value is a formula (no data is typed here). "no data" = no population in the register.</t>
        </is>
      </c>
    </row>
    <row r="3">
      <c r="A3" s="8">
        <f>"Project: "&amp;PROJ&amp;"  "&amp;PROJNAME&amp;"   Data date: "&amp;TEXT(DATADATE,"dd-mmm-yyyy")</f>
        <v/>
      </c>
    </row>
    <row r="5">
      <c r="A5" s="6" t="inlineStr">
        <is>
          <t>Measure</t>
        </is>
      </c>
      <c r="B5" s="6" t="inlineStr">
        <is>
          <t>Value</t>
        </is>
      </c>
      <c r="C5" s="6" t="inlineStr">
        <is>
          <t>Rule</t>
        </is>
      </c>
    </row>
    <row r="6">
      <c r="A6" s="7" t="inlineStr">
        <is>
          <t>Records (current revisions)</t>
        </is>
      </c>
      <c r="B6" s="9">
        <f>COUNTIFS('Register'!$A$6:$A$505,"?*",'Register'!$AC$6:$AC$505,"Y")</f>
        <v/>
      </c>
      <c r="C6" s="7" t="inlineStr">
        <is>
          <t>Rows with an ID</t>
        </is>
      </c>
    </row>
    <row r="7">
      <c r="A7" s="7" t="inlineStr">
        <is>
          <t>Authority decision: Unverified</t>
        </is>
      </c>
      <c r="B7" s="9">
        <f>COUNTIFS('Register'!$Q$6:$Q$505,"Unverified",'Register'!$AC$6:$AC$505,"Y")</f>
        <v/>
      </c>
      <c r="C7" s="7" t="inlineStr"/>
    </row>
    <row r="8">
      <c r="A8" s="7" t="inlineStr">
        <is>
          <t>Authority decision: Planned</t>
        </is>
      </c>
      <c r="B8" s="9">
        <f>COUNTIFS('Register'!$Q$6:$Q$505,"Planned",'Register'!$AC$6:$AC$505,"Y")</f>
        <v/>
      </c>
      <c r="C8" s="7" t="inlineStr"/>
    </row>
    <row r="9">
      <c r="A9" s="7" t="inlineStr">
        <is>
          <t>Authority decision: Submitted</t>
        </is>
      </c>
      <c r="B9" s="9">
        <f>COUNTIFS('Register'!$Q$6:$Q$505,"Submitted",'Register'!$AC$6:$AC$505,"Y")</f>
        <v/>
      </c>
      <c r="C9" s="7" t="inlineStr"/>
    </row>
    <row r="10">
      <c r="A10" s="7" t="inlineStr">
        <is>
          <t>Authority decision: Conditionally approved</t>
        </is>
      </c>
      <c r="B10" s="9">
        <f>COUNTIFS('Register'!$Q$6:$Q$505,"Conditionally approved",'Register'!$AC$6:$AC$505,"Y")</f>
        <v/>
      </c>
      <c r="C10" s="7" t="inlineStr"/>
    </row>
    <row r="11">
      <c r="A11" s="7" t="inlineStr">
        <is>
          <t>Authority decision: Approved</t>
        </is>
      </c>
      <c r="B11" s="9">
        <f>COUNTIFS('Register'!$Q$6:$Q$505,"Approved",'Register'!$AC$6:$AC$505,"Y")</f>
        <v/>
      </c>
      <c r="C11" s="7" t="inlineStr"/>
    </row>
    <row r="12">
      <c r="A12" s="7" t="inlineStr">
        <is>
          <t>Authority decision: Rejected</t>
        </is>
      </c>
      <c r="B12" s="9">
        <f>COUNTIFS('Register'!$Q$6:$Q$505,"Rejected",'Register'!$AC$6:$AC$505,"Y")</f>
        <v/>
      </c>
      <c r="C12" s="7" t="inlineStr"/>
    </row>
    <row r="13">
      <c r="A13" s="7" t="inlineStr">
        <is>
          <t>Authority decision: Expired</t>
        </is>
      </c>
      <c r="B13" s="9">
        <f>COUNTIFS('Register'!$Q$6:$Q$505,"Expired",'Register'!$AC$6:$AC$505,"Y")</f>
        <v/>
      </c>
      <c r="C13" s="7" t="inlineStr"/>
    </row>
    <row r="14">
      <c r="A14" s="7" t="inlineStr">
        <is>
          <t>Authority decision: Not applicable</t>
        </is>
      </c>
      <c r="B14" s="9">
        <f>COUNTIFS('Register'!$Q$6:$Q$505,"Not applicable",'Register'!$AC$6:$AC$505,"Y")</f>
        <v/>
      </c>
      <c r="C14" s="7" t="inlineStr"/>
    </row>
    <row r="15">
      <c r="A15" s="7" t="inlineStr">
        <is>
          <t>Overdue now</t>
        </is>
      </c>
      <c r="B15" s="9">
        <f>COUNTIF('Register'!$AK$6:$AK$505,"OVERDUE")</f>
        <v/>
      </c>
      <c r="C15" s="7" t="inlineStr">
        <is>
          <t>Open and past due at the data date</t>
        </is>
      </c>
    </row>
    <row r="16">
      <c r="A16" s="7" t="inlineStr">
        <is>
          <t>Average days (closed and open)</t>
        </is>
      </c>
      <c r="B16" s="9">
        <f>IFERROR(AVERAGE('Register'!$AJ$6:$AJ$505),"no data")</f>
        <v/>
      </c>
      <c r="C16" s="7" t="inlineStr"/>
    </row>
    <row r="17">
      <c r="A17" s="7" t="inlineStr">
        <is>
          <t>Expiring or expired</t>
        </is>
      </c>
      <c r="B17" s="9">
        <f>COUNTIF('Register'!$AL$6:$AL$505,"EXPI*")</f>
        <v/>
      </c>
      <c r="C17" s="7" t="inlineStr">
        <is>
          <t>Within the warning days</t>
        </is>
      </c>
    </row>
    <row r="18">
      <c r="A18" s="7" t="inlineStr">
        <is>
          <t>Resubmitted IDs (cycles &gt; 1)</t>
        </is>
      </c>
      <c r="B18" s="9">
        <f>COUNTIFS('Register'!$AD$6:$AD$505,"&gt;1",'Register'!$AC$6:$AC$505,"Y")</f>
        <v/>
      </c>
      <c r="C18" s="7" t="inlineStr"/>
    </row>
    <row r="20">
      <c r="A20" s="6" t="inlineStr">
        <is>
          <t>KPI (BBM-STD-98)</t>
        </is>
      </c>
      <c r="B20" s="6" t="inlineStr">
        <is>
          <t>Actual</t>
        </is>
      </c>
      <c r="C20" s="6" t="inlineStr">
        <is>
          <t>Target</t>
        </is>
      </c>
      <c r="D20" s="6" t="inlineStr">
        <is>
          <t>Indicator</t>
        </is>
      </c>
    </row>
    <row r="21">
      <c r="A21" s="7" t="inlineStr">
        <is>
          <t>K-AU-01</t>
        </is>
      </c>
      <c r="B21" s="10">
        <f>IFERROR((COUNTIFS('Register'!$AB$6:$AB$505,0,'Register'!$Q$6:$Q$505,"Approved")+COUNTIFS('Register'!$AB$6:$AB$505,0,'Register'!$Q$6:$Q$505,"Conditionally approved"))/(COUNTIFS('Register'!$AB$6:$AB$505,0,'Register'!$Q$6:$Q$505,"Approved")+COUNTIFS('Register'!$AB$6:$AB$505,0,'Register'!$Q$6:$Q$505,"Conditionally approved")+COUNTIFS('Register'!$AB$6:$AB$505,0,'Register'!$Q$6:$Q$505,"Rejected")),"no data")</f>
        <v/>
      </c>
      <c r="C21" s="7" t="inlineStr">
        <is>
          <t>&gt;= 80%</t>
        </is>
      </c>
      <c r="D21" s="7" t="inlineStr">
        <is>
          <t>First-time authority approval rate</t>
        </is>
      </c>
    </row>
    <row r="22">
      <c r="A22" s="7" t="inlineStr">
        <is>
          <t>K-AU-02</t>
        </is>
      </c>
      <c r="B22" s="9">
        <f>IFERROR(COUNTIFS('Register'!$AB$6:$AB$505,"&gt;0",'Register'!$A$6:$A$505,"?*")/COUNTIFS('Register'!$AC$6:$AC$505,"Y",'Register'!$Q$6:$Q$505,"&lt;&gt;Planned",'Register'!$Q$6:$Q$505,"&lt;&gt;Unverified",'Register'!$Q$6:$Q$505,"&lt;&gt;Submitted"),"no data")</f>
        <v/>
      </c>
      <c r="C22" s="7" t="inlineStr">
        <is>
          <t>&lt;= 1.3</t>
        </is>
      </c>
      <c r="D22" s="7" t="inlineStr">
        <is>
          <t>Authority comment rounds per submission</t>
        </is>
      </c>
    </row>
    <row r="24">
      <c r="A24" s="6" t="inlineStr">
        <is>
          <t>By discipline (ROLE)</t>
        </is>
      </c>
      <c r="B24" s="6" t="inlineStr">
        <is>
          <t>Unverified</t>
        </is>
      </c>
      <c r="C24" s="6" t="inlineStr">
        <is>
          <t>Planned</t>
        </is>
      </c>
      <c r="D24" s="6" t="inlineStr">
        <is>
          <t>Submitted</t>
        </is>
      </c>
      <c r="E24" s="6" t="inlineStr">
        <is>
          <t>Conditionally approved</t>
        </is>
      </c>
      <c r="F24" s="6" t="inlineStr">
        <is>
          <t>Approved</t>
        </is>
      </c>
      <c r="G24" s="6" t="inlineStr">
        <is>
          <t>Rejected</t>
        </is>
      </c>
      <c r="H24" s="6" t="inlineStr">
        <is>
          <t>Expired</t>
        </is>
      </c>
      <c r="I24" s="6" t="inlineStr">
        <is>
          <t>Not applicable</t>
        </is>
      </c>
    </row>
    <row r="25">
      <c r="A25" s="7" t="inlineStr">
        <is>
          <t>A</t>
        </is>
      </c>
      <c r="B25" s="7">
        <f>COUNTIFS('Register'!$Z$6:$Z$505,"A",'Register'!$Q$6:$Q$505,"Unverified",'Register'!$AC$6:$AC$505,"Y")</f>
        <v/>
      </c>
      <c r="C25" s="7">
        <f>COUNTIFS('Register'!$Z$6:$Z$505,"A",'Register'!$Q$6:$Q$505,"Planned",'Register'!$AC$6:$AC$505,"Y")</f>
        <v/>
      </c>
      <c r="D25" s="7">
        <f>COUNTIFS('Register'!$Z$6:$Z$505,"A",'Register'!$Q$6:$Q$505,"Submitted",'Register'!$AC$6:$AC$505,"Y")</f>
        <v/>
      </c>
      <c r="E25" s="7">
        <f>COUNTIFS('Register'!$Z$6:$Z$505,"A",'Register'!$Q$6:$Q$505,"Conditionally approved",'Register'!$AC$6:$AC$505,"Y")</f>
        <v/>
      </c>
      <c r="F25" s="7">
        <f>COUNTIFS('Register'!$Z$6:$Z$505,"A",'Register'!$Q$6:$Q$505,"Approved",'Register'!$AC$6:$AC$505,"Y")</f>
        <v/>
      </c>
      <c r="G25" s="7">
        <f>COUNTIFS('Register'!$Z$6:$Z$505,"A",'Register'!$Q$6:$Q$505,"Rejected",'Register'!$AC$6:$AC$505,"Y")</f>
        <v/>
      </c>
      <c r="H25" s="7">
        <f>COUNTIFS('Register'!$Z$6:$Z$505,"A",'Register'!$Q$6:$Q$505,"Expired",'Register'!$AC$6:$AC$505,"Y")</f>
        <v/>
      </c>
      <c r="I25" s="7">
        <f>COUNTIFS('Register'!$Z$6:$Z$505,"A",'Register'!$Q$6:$Q$505,"Not applicable",'Register'!$AC$6:$AC$505,"Y")</f>
        <v/>
      </c>
    </row>
    <row r="26">
      <c r="A26" s="7" t="inlineStr">
        <is>
          <t>S</t>
        </is>
      </c>
      <c r="B26" s="7">
        <f>COUNTIFS('Register'!$Z$6:$Z$505,"S",'Register'!$Q$6:$Q$505,"Unverified",'Register'!$AC$6:$AC$505,"Y")</f>
        <v/>
      </c>
      <c r="C26" s="7">
        <f>COUNTIFS('Register'!$Z$6:$Z$505,"S",'Register'!$Q$6:$Q$505,"Planned",'Register'!$AC$6:$AC$505,"Y")</f>
        <v/>
      </c>
      <c r="D26" s="7">
        <f>COUNTIFS('Register'!$Z$6:$Z$505,"S",'Register'!$Q$6:$Q$505,"Submitted",'Register'!$AC$6:$AC$505,"Y")</f>
        <v/>
      </c>
      <c r="E26" s="7">
        <f>COUNTIFS('Register'!$Z$6:$Z$505,"S",'Register'!$Q$6:$Q$505,"Conditionally approved",'Register'!$AC$6:$AC$505,"Y")</f>
        <v/>
      </c>
      <c r="F26" s="7">
        <f>COUNTIFS('Register'!$Z$6:$Z$505,"S",'Register'!$Q$6:$Q$505,"Approved",'Register'!$AC$6:$AC$505,"Y")</f>
        <v/>
      </c>
      <c r="G26" s="7">
        <f>COUNTIFS('Register'!$Z$6:$Z$505,"S",'Register'!$Q$6:$Q$505,"Rejected",'Register'!$AC$6:$AC$505,"Y")</f>
        <v/>
      </c>
      <c r="H26" s="7">
        <f>COUNTIFS('Register'!$Z$6:$Z$505,"S",'Register'!$Q$6:$Q$505,"Expired",'Register'!$AC$6:$AC$505,"Y")</f>
        <v/>
      </c>
      <c r="I26" s="7">
        <f>COUNTIFS('Register'!$Z$6:$Z$505,"S",'Register'!$Q$6:$Q$505,"Not applicable",'Register'!$AC$6:$AC$505,"Y")</f>
        <v/>
      </c>
    </row>
    <row r="27">
      <c r="A27" s="7" t="inlineStr">
        <is>
          <t>M</t>
        </is>
      </c>
      <c r="B27" s="7">
        <f>COUNTIFS('Register'!$Z$6:$Z$505,"M",'Register'!$Q$6:$Q$505,"Unverified",'Register'!$AC$6:$AC$505,"Y")</f>
        <v/>
      </c>
      <c r="C27" s="7">
        <f>COUNTIFS('Register'!$Z$6:$Z$505,"M",'Register'!$Q$6:$Q$505,"Planned",'Register'!$AC$6:$AC$505,"Y")</f>
        <v/>
      </c>
      <c r="D27" s="7">
        <f>COUNTIFS('Register'!$Z$6:$Z$505,"M",'Register'!$Q$6:$Q$505,"Submitted",'Register'!$AC$6:$AC$505,"Y")</f>
        <v/>
      </c>
      <c r="E27" s="7">
        <f>COUNTIFS('Register'!$Z$6:$Z$505,"M",'Register'!$Q$6:$Q$505,"Conditionally approved",'Register'!$AC$6:$AC$505,"Y")</f>
        <v/>
      </c>
      <c r="F27" s="7">
        <f>COUNTIFS('Register'!$Z$6:$Z$505,"M",'Register'!$Q$6:$Q$505,"Approved",'Register'!$AC$6:$AC$505,"Y")</f>
        <v/>
      </c>
      <c r="G27" s="7">
        <f>COUNTIFS('Register'!$Z$6:$Z$505,"M",'Register'!$Q$6:$Q$505,"Rejected",'Register'!$AC$6:$AC$505,"Y")</f>
        <v/>
      </c>
      <c r="H27" s="7">
        <f>COUNTIFS('Register'!$Z$6:$Z$505,"M",'Register'!$Q$6:$Q$505,"Expired",'Register'!$AC$6:$AC$505,"Y")</f>
        <v/>
      </c>
      <c r="I27" s="7">
        <f>COUNTIFS('Register'!$Z$6:$Z$505,"M",'Register'!$Q$6:$Q$505,"Not applicable",'Register'!$AC$6:$AC$505,"Y")</f>
        <v/>
      </c>
    </row>
    <row r="28">
      <c r="A28" s="7" t="inlineStr">
        <is>
          <t>E</t>
        </is>
      </c>
      <c r="B28" s="7">
        <f>COUNTIFS('Register'!$Z$6:$Z$505,"E",'Register'!$Q$6:$Q$505,"Unverified",'Register'!$AC$6:$AC$505,"Y")</f>
        <v/>
      </c>
      <c r="C28" s="7">
        <f>COUNTIFS('Register'!$Z$6:$Z$505,"E",'Register'!$Q$6:$Q$505,"Planned",'Register'!$AC$6:$AC$505,"Y")</f>
        <v/>
      </c>
      <c r="D28" s="7">
        <f>COUNTIFS('Register'!$Z$6:$Z$505,"E",'Register'!$Q$6:$Q$505,"Submitted",'Register'!$AC$6:$AC$505,"Y")</f>
        <v/>
      </c>
      <c r="E28" s="7">
        <f>COUNTIFS('Register'!$Z$6:$Z$505,"E",'Register'!$Q$6:$Q$505,"Conditionally approved",'Register'!$AC$6:$AC$505,"Y")</f>
        <v/>
      </c>
      <c r="F28" s="7">
        <f>COUNTIFS('Register'!$Z$6:$Z$505,"E",'Register'!$Q$6:$Q$505,"Approved",'Register'!$AC$6:$AC$505,"Y")</f>
        <v/>
      </c>
      <c r="G28" s="7">
        <f>COUNTIFS('Register'!$Z$6:$Z$505,"E",'Register'!$Q$6:$Q$505,"Rejected",'Register'!$AC$6:$AC$505,"Y")</f>
        <v/>
      </c>
      <c r="H28" s="7">
        <f>COUNTIFS('Register'!$Z$6:$Z$505,"E",'Register'!$Q$6:$Q$505,"Expired",'Register'!$AC$6:$AC$505,"Y")</f>
        <v/>
      </c>
      <c r="I28" s="7">
        <f>COUNTIFS('Register'!$Z$6:$Z$505,"E",'Register'!$Q$6:$Q$505,"Not applicable",'Register'!$AC$6:$AC$505,"Y")</f>
        <v/>
      </c>
    </row>
    <row r="29">
      <c r="A29" s="7" t="inlineStr">
        <is>
          <t>L</t>
        </is>
      </c>
      <c r="B29" s="7">
        <f>COUNTIFS('Register'!$Z$6:$Z$505,"L",'Register'!$Q$6:$Q$505,"Unverified",'Register'!$AC$6:$AC$505,"Y")</f>
        <v/>
      </c>
      <c r="C29" s="7">
        <f>COUNTIFS('Register'!$Z$6:$Z$505,"L",'Register'!$Q$6:$Q$505,"Planned",'Register'!$AC$6:$AC$505,"Y")</f>
        <v/>
      </c>
      <c r="D29" s="7">
        <f>COUNTIFS('Register'!$Z$6:$Z$505,"L",'Register'!$Q$6:$Q$505,"Submitted",'Register'!$AC$6:$AC$505,"Y")</f>
        <v/>
      </c>
      <c r="E29" s="7">
        <f>COUNTIFS('Register'!$Z$6:$Z$505,"L",'Register'!$Q$6:$Q$505,"Conditionally approved",'Register'!$AC$6:$AC$505,"Y")</f>
        <v/>
      </c>
      <c r="F29" s="7">
        <f>COUNTIFS('Register'!$Z$6:$Z$505,"L",'Register'!$Q$6:$Q$505,"Approved",'Register'!$AC$6:$AC$505,"Y")</f>
        <v/>
      </c>
      <c r="G29" s="7">
        <f>COUNTIFS('Register'!$Z$6:$Z$505,"L",'Register'!$Q$6:$Q$505,"Rejected",'Register'!$AC$6:$AC$505,"Y")</f>
        <v/>
      </c>
      <c r="H29" s="7">
        <f>COUNTIFS('Register'!$Z$6:$Z$505,"L",'Register'!$Q$6:$Q$505,"Expired",'Register'!$AC$6:$AC$505,"Y")</f>
        <v/>
      </c>
      <c r="I29" s="7">
        <f>COUNTIFS('Register'!$Z$6:$Z$505,"L",'Register'!$Q$6:$Q$505,"Not applicable",'Register'!$AC$6:$AC$505,"Y")</f>
        <v/>
      </c>
    </row>
    <row r="30">
      <c r="A30" s="7" t="inlineStr">
        <is>
          <t>P</t>
        </is>
      </c>
      <c r="B30" s="7">
        <f>COUNTIFS('Register'!$Z$6:$Z$505,"P",'Register'!$Q$6:$Q$505,"Unverified",'Register'!$AC$6:$AC$505,"Y")</f>
        <v/>
      </c>
      <c r="C30" s="7">
        <f>COUNTIFS('Register'!$Z$6:$Z$505,"P",'Register'!$Q$6:$Q$505,"Planned",'Register'!$AC$6:$AC$505,"Y")</f>
        <v/>
      </c>
      <c r="D30" s="7">
        <f>COUNTIFS('Register'!$Z$6:$Z$505,"P",'Register'!$Q$6:$Q$505,"Submitted",'Register'!$AC$6:$AC$505,"Y")</f>
        <v/>
      </c>
      <c r="E30" s="7">
        <f>COUNTIFS('Register'!$Z$6:$Z$505,"P",'Register'!$Q$6:$Q$505,"Conditionally approved",'Register'!$AC$6:$AC$505,"Y")</f>
        <v/>
      </c>
      <c r="F30" s="7">
        <f>COUNTIFS('Register'!$Z$6:$Z$505,"P",'Register'!$Q$6:$Q$505,"Approved",'Register'!$AC$6:$AC$505,"Y")</f>
        <v/>
      </c>
      <c r="G30" s="7">
        <f>COUNTIFS('Register'!$Z$6:$Z$505,"P",'Register'!$Q$6:$Q$505,"Rejected",'Register'!$AC$6:$AC$505,"Y")</f>
        <v/>
      </c>
      <c r="H30" s="7">
        <f>COUNTIFS('Register'!$Z$6:$Z$505,"P",'Register'!$Q$6:$Q$505,"Expired",'Register'!$AC$6:$AC$505,"Y")</f>
        <v/>
      </c>
      <c r="I30" s="7">
        <f>COUNTIFS('Register'!$Z$6:$Z$505,"P",'Register'!$Q$6:$Q$505,"Not applicable",'Register'!$AC$6:$AC$505,"Y")</f>
        <v/>
      </c>
    </row>
    <row r="31">
      <c r="A31" s="7" t="inlineStr">
        <is>
          <t>F</t>
        </is>
      </c>
      <c r="B31" s="7">
        <f>COUNTIFS('Register'!$Z$6:$Z$505,"F",'Register'!$Q$6:$Q$505,"Unverified",'Register'!$AC$6:$AC$505,"Y")</f>
        <v/>
      </c>
      <c r="C31" s="7">
        <f>COUNTIFS('Register'!$Z$6:$Z$505,"F",'Register'!$Q$6:$Q$505,"Planned",'Register'!$AC$6:$AC$505,"Y")</f>
        <v/>
      </c>
      <c r="D31" s="7">
        <f>COUNTIFS('Register'!$Z$6:$Z$505,"F",'Register'!$Q$6:$Q$505,"Submitted",'Register'!$AC$6:$AC$505,"Y")</f>
        <v/>
      </c>
      <c r="E31" s="7">
        <f>COUNTIFS('Register'!$Z$6:$Z$505,"F",'Register'!$Q$6:$Q$505,"Conditionally approved",'Register'!$AC$6:$AC$505,"Y")</f>
        <v/>
      </c>
      <c r="F31" s="7">
        <f>COUNTIFS('Register'!$Z$6:$Z$505,"F",'Register'!$Q$6:$Q$505,"Approved",'Register'!$AC$6:$AC$505,"Y")</f>
        <v/>
      </c>
      <c r="G31" s="7">
        <f>COUNTIFS('Register'!$Z$6:$Z$505,"F",'Register'!$Q$6:$Q$505,"Rejected",'Register'!$AC$6:$AC$505,"Y")</f>
        <v/>
      </c>
      <c r="H31" s="7">
        <f>COUNTIFS('Register'!$Z$6:$Z$505,"F",'Register'!$Q$6:$Q$505,"Expired",'Register'!$AC$6:$AC$505,"Y")</f>
        <v/>
      </c>
      <c r="I31" s="7">
        <f>COUNTIFS('Register'!$Z$6:$Z$505,"F",'Register'!$Q$6:$Q$505,"Not applicable",'Register'!$AC$6:$AC$505,"Y")</f>
        <v/>
      </c>
    </row>
    <row r="32">
      <c r="A32" s="7" t="inlineStr">
        <is>
          <t>I</t>
        </is>
      </c>
      <c r="B32" s="7">
        <f>COUNTIFS('Register'!$Z$6:$Z$505,"I",'Register'!$Q$6:$Q$505,"Unverified",'Register'!$AC$6:$AC$505,"Y")</f>
        <v/>
      </c>
      <c r="C32" s="7">
        <f>COUNTIFS('Register'!$Z$6:$Z$505,"I",'Register'!$Q$6:$Q$505,"Planned",'Register'!$AC$6:$AC$505,"Y")</f>
        <v/>
      </c>
      <c r="D32" s="7">
        <f>COUNTIFS('Register'!$Z$6:$Z$505,"I",'Register'!$Q$6:$Q$505,"Submitted",'Register'!$AC$6:$AC$505,"Y")</f>
        <v/>
      </c>
      <c r="E32" s="7">
        <f>COUNTIFS('Register'!$Z$6:$Z$505,"I",'Register'!$Q$6:$Q$505,"Conditionally approved",'Register'!$AC$6:$AC$505,"Y")</f>
        <v/>
      </c>
      <c r="F32" s="7">
        <f>COUNTIFS('Register'!$Z$6:$Z$505,"I",'Register'!$Q$6:$Q$505,"Approved",'Register'!$AC$6:$AC$505,"Y")</f>
        <v/>
      </c>
      <c r="G32" s="7">
        <f>COUNTIFS('Register'!$Z$6:$Z$505,"I",'Register'!$Q$6:$Q$505,"Rejected",'Register'!$AC$6:$AC$505,"Y")</f>
        <v/>
      </c>
      <c r="H32" s="7">
        <f>COUNTIFS('Register'!$Z$6:$Z$505,"I",'Register'!$Q$6:$Q$505,"Expired",'Register'!$AC$6:$AC$505,"Y")</f>
        <v/>
      </c>
      <c r="I32" s="7">
        <f>COUNTIFS('Register'!$Z$6:$Z$505,"I",'Register'!$Q$6:$Q$505,"Not applicable",'Register'!$AC$6:$AC$505,"Y")</f>
        <v/>
      </c>
    </row>
    <row r="33">
      <c r="A33" s="7" t="inlineStr">
        <is>
          <t>C</t>
        </is>
      </c>
      <c r="B33" s="7">
        <f>COUNTIFS('Register'!$Z$6:$Z$505,"C",'Register'!$Q$6:$Q$505,"Unverified",'Register'!$AC$6:$AC$505,"Y")</f>
        <v/>
      </c>
      <c r="C33" s="7">
        <f>COUNTIFS('Register'!$Z$6:$Z$505,"C",'Register'!$Q$6:$Q$505,"Planned",'Register'!$AC$6:$AC$505,"Y")</f>
        <v/>
      </c>
      <c r="D33" s="7">
        <f>COUNTIFS('Register'!$Z$6:$Z$505,"C",'Register'!$Q$6:$Q$505,"Submitted",'Register'!$AC$6:$AC$505,"Y")</f>
        <v/>
      </c>
      <c r="E33" s="7">
        <f>COUNTIFS('Register'!$Z$6:$Z$505,"C",'Register'!$Q$6:$Q$505,"Conditionally approved",'Register'!$AC$6:$AC$505,"Y")</f>
        <v/>
      </c>
      <c r="F33" s="7">
        <f>COUNTIFS('Register'!$Z$6:$Z$505,"C",'Register'!$Q$6:$Q$505,"Approved",'Register'!$AC$6:$AC$505,"Y")</f>
        <v/>
      </c>
      <c r="G33" s="7">
        <f>COUNTIFS('Register'!$Z$6:$Z$505,"C",'Register'!$Q$6:$Q$505,"Rejected",'Register'!$AC$6:$AC$505,"Y")</f>
        <v/>
      </c>
      <c r="H33" s="7">
        <f>COUNTIFS('Register'!$Z$6:$Z$505,"C",'Register'!$Q$6:$Q$505,"Expired",'Register'!$AC$6:$AC$505,"Y")</f>
        <v/>
      </c>
      <c r="I33" s="7">
        <f>COUNTIFS('Register'!$Z$6:$Z$505,"C",'Register'!$Q$6:$Q$505,"Not applicable",'Register'!$AC$6:$AC$505,"Y")</f>
        <v/>
      </c>
    </row>
    <row r="34">
      <c r="A34" s="7" t="inlineStr">
        <is>
          <t>G</t>
        </is>
      </c>
      <c r="B34" s="7">
        <f>COUNTIFS('Register'!$Z$6:$Z$505,"G",'Register'!$Q$6:$Q$505,"Unverified",'Register'!$AC$6:$AC$505,"Y")</f>
        <v/>
      </c>
      <c r="C34" s="7">
        <f>COUNTIFS('Register'!$Z$6:$Z$505,"G",'Register'!$Q$6:$Q$505,"Planned",'Register'!$AC$6:$AC$505,"Y")</f>
        <v/>
      </c>
      <c r="D34" s="7">
        <f>COUNTIFS('Register'!$Z$6:$Z$505,"G",'Register'!$Q$6:$Q$505,"Submitted",'Register'!$AC$6:$AC$505,"Y")</f>
        <v/>
      </c>
      <c r="E34" s="7">
        <f>COUNTIFS('Register'!$Z$6:$Z$505,"G",'Register'!$Q$6:$Q$505,"Conditionally approved",'Register'!$AC$6:$AC$505,"Y")</f>
        <v/>
      </c>
      <c r="F34" s="7">
        <f>COUNTIFS('Register'!$Z$6:$Z$505,"G",'Register'!$Q$6:$Q$505,"Approved",'Register'!$AC$6:$AC$505,"Y")</f>
        <v/>
      </c>
      <c r="G34" s="7">
        <f>COUNTIFS('Register'!$Z$6:$Z$505,"G",'Register'!$Q$6:$Q$505,"Rejected",'Register'!$AC$6:$AC$505,"Y")</f>
        <v/>
      </c>
      <c r="H34" s="7">
        <f>COUNTIFS('Register'!$Z$6:$Z$505,"G",'Register'!$Q$6:$Q$505,"Expired",'Register'!$AC$6:$AC$505,"Y")</f>
        <v/>
      </c>
      <c r="I34" s="7">
        <f>COUNTIFS('Register'!$Z$6:$Z$505,"G",'Register'!$Q$6:$Q$505,"Not applicable",'Register'!$AC$6:$AC$505,"Y")</f>
        <v/>
      </c>
    </row>
    <row r="35">
      <c r="A35" s="7" t="inlineStr">
        <is>
          <t>Q</t>
        </is>
      </c>
      <c r="B35" s="7">
        <f>COUNTIFS('Register'!$Z$6:$Z$505,"Q",'Register'!$Q$6:$Q$505,"Unverified",'Register'!$AC$6:$AC$505,"Y")</f>
        <v/>
      </c>
      <c r="C35" s="7">
        <f>COUNTIFS('Register'!$Z$6:$Z$505,"Q",'Register'!$Q$6:$Q$505,"Planned",'Register'!$AC$6:$AC$505,"Y")</f>
        <v/>
      </c>
      <c r="D35" s="7">
        <f>COUNTIFS('Register'!$Z$6:$Z$505,"Q",'Register'!$Q$6:$Q$505,"Submitted",'Register'!$AC$6:$AC$505,"Y")</f>
        <v/>
      </c>
      <c r="E35" s="7">
        <f>COUNTIFS('Register'!$Z$6:$Z$505,"Q",'Register'!$Q$6:$Q$505,"Conditionally approved",'Register'!$AC$6:$AC$505,"Y")</f>
        <v/>
      </c>
      <c r="F35" s="7">
        <f>COUNTIFS('Register'!$Z$6:$Z$505,"Q",'Register'!$Q$6:$Q$505,"Approved",'Register'!$AC$6:$AC$505,"Y")</f>
        <v/>
      </c>
      <c r="G35" s="7">
        <f>COUNTIFS('Register'!$Z$6:$Z$505,"Q",'Register'!$Q$6:$Q$505,"Rejected",'Register'!$AC$6:$AC$505,"Y")</f>
        <v/>
      </c>
      <c r="H35" s="7">
        <f>COUNTIFS('Register'!$Z$6:$Z$505,"Q",'Register'!$Q$6:$Q$505,"Expired",'Register'!$AC$6:$AC$505,"Y")</f>
        <v/>
      </c>
      <c r="I35" s="7">
        <f>COUNTIFS('Register'!$Z$6:$Z$505,"Q",'Register'!$Q$6:$Q$505,"Not applicable",'Register'!$AC$6:$AC$505,"Y")</f>
        <v/>
      </c>
    </row>
    <row r="36">
      <c r="A36" s="7" t="inlineStr">
        <is>
          <t>W</t>
        </is>
      </c>
      <c r="B36" s="7">
        <f>COUNTIFS('Register'!$Z$6:$Z$505,"W",'Register'!$Q$6:$Q$505,"Unverified",'Register'!$AC$6:$AC$505,"Y")</f>
        <v/>
      </c>
      <c r="C36" s="7">
        <f>COUNTIFS('Register'!$Z$6:$Z$505,"W",'Register'!$Q$6:$Q$505,"Planned",'Register'!$AC$6:$AC$505,"Y")</f>
        <v/>
      </c>
      <c r="D36" s="7">
        <f>COUNTIFS('Register'!$Z$6:$Z$505,"W",'Register'!$Q$6:$Q$505,"Submitted",'Register'!$AC$6:$AC$505,"Y")</f>
        <v/>
      </c>
      <c r="E36" s="7">
        <f>COUNTIFS('Register'!$Z$6:$Z$505,"W",'Register'!$Q$6:$Q$505,"Conditionally approved",'Register'!$AC$6:$AC$505,"Y")</f>
        <v/>
      </c>
      <c r="F36" s="7">
        <f>COUNTIFS('Register'!$Z$6:$Z$505,"W",'Register'!$Q$6:$Q$505,"Approved",'Register'!$AC$6:$AC$505,"Y")</f>
        <v/>
      </c>
      <c r="G36" s="7">
        <f>COUNTIFS('Register'!$Z$6:$Z$505,"W",'Register'!$Q$6:$Q$505,"Rejected",'Register'!$AC$6:$AC$505,"Y")</f>
        <v/>
      </c>
      <c r="H36" s="7">
        <f>COUNTIFS('Register'!$Z$6:$Z$505,"W",'Register'!$Q$6:$Q$505,"Expired",'Register'!$AC$6:$AC$505,"Y")</f>
        <v/>
      </c>
      <c r="I36" s="7">
        <f>COUNTIFS('Register'!$Z$6:$Z$505,"W",'Register'!$Q$6:$Q$505,"Not applicable",'Register'!$AC$6:$AC$505,"Y")</f>
        <v/>
      </c>
    </row>
    <row r="37">
      <c r="A37" s="7" t="inlineStr">
        <is>
          <t>Z</t>
        </is>
      </c>
      <c r="B37" s="7">
        <f>COUNTIFS('Register'!$Z$6:$Z$505,"Z",'Register'!$Q$6:$Q$505,"Unverified",'Register'!$AC$6:$AC$505,"Y")</f>
        <v/>
      </c>
      <c r="C37" s="7">
        <f>COUNTIFS('Register'!$Z$6:$Z$505,"Z",'Register'!$Q$6:$Q$505,"Planned",'Register'!$AC$6:$AC$505,"Y")</f>
        <v/>
      </c>
      <c r="D37" s="7">
        <f>COUNTIFS('Register'!$Z$6:$Z$505,"Z",'Register'!$Q$6:$Q$505,"Submitted",'Register'!$AC$6:$AC$505,"Y")</f>
        <v/>
      </c>
      <c r="E37" s="7">
        <f>COUNTIFS('Register'!$Z$6:$Z$505,"Z",'Register'!$Q$6:$Q$505,"Conditionally approved",'Register'!$AC$6:$AC$505,"Y")</f>
        <v/>
      </c>
      <c r="F37" s="7">
        <f>COUNTIFS('Register'!$Z$6:$Z$505,"Z",'Register'!$Q$6:$Q$505,"Approved",'Register'!$AC$6:$AC$505,"Y")</f>
        <v/>
      </c>
      <c r="G37" s="7">
        <f>COUNTIFS('Register'!$Z$6:$Z$505,"Z",'Register'!$Q$6:$Q$505,"Rejected",'Register'!$AC$6:$AC$505,"Y")</f>
        <v/>
      </c>
      <c r="H37" s="7">
        <f>COUNTIFS('Register'!$Z$6:$Z$505,"Z",'Register'!$Q$6:$Q$505,"Expired",'Register'!$AC$6:$AC$505,"Y")</f>
        <v/>
      </c>
      <c r="I37" s="7">
        <f>COUNTIFS('Register'!$Z$6:$Z$505,"Z",'Register'!$Q$6:$Q$505,"Not applicable",'Register'!$AC$6:$AC$505,"Y")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9A7B45"/>
    <outlinePr summaryBelow="1" summaryRight="1"/>
    <pageSetUpPr/>
  </sheetPr>
  <dimension ref="A1:F40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60" customWidth="1" min="3" max="3"/>
    <col width="2" customWidth="1" min="4" max="4"/>
    <col width="2" customWidth="1" min="5" max="5"/>
    <col width="18" customWidth="1" min="6" max="6"/>
  </cols>
  <sheetData>
    <row r="1">
      <c r="A1" s="1" t="inlineStr">
        <is>
          <t>Settings</t>
        </is>
      </c>
    </row>
    <row r="2">
      <c r="A2" s="2" t="inlineStr">
        <is>
          <t>Project codes, data date and turnaround days used by every formula. Contract values override the office defaults (O-DEC-176).</t>
        </is>
      </c>
    </row>
    <row r="4">
      <c r="A4" s="6" t="inlineStr">
        <is>
          <t>Setting</t>
        </is>
      </c>
      <c r="B4" s="6" t="inlineStr">
        <is>
          <t>Value</t>
        </is>
      </c>
      <c r="C4" s="6" t="inlineStr">
        <is>
          <t>Note</t>
        </is>
      </c>
      <c r="F4" s="11" t="inlineStr">
        <is>
          <t>Public holidays (one date per cell)</t>
        </is>
      </c>
    </row>
    <row r="5">
      <c r="A5" s="7" t="inlineStr">
        <is>
          <t>Project code (PROJ token, BBM-STD-93 §2.2)</t>
        </is>
      </c>
      <c r="B5" s="12" t="n"/>
      <c r="C5" s="7" t="inlineStr">
        <is>
          <t>Required. Used in every record ID</t>
        </is>
      </c>
      <c r="F5" s="13" t="n"/>
    </row>
    <row r="6">
      <c r="A6" s="7" t="inlineStr">
        <is>
          <t>Client code (CLIENT token)</t>
        </is>
      </c>
      <c r="B6" s="12" t="n"/>
      <c r="C6" s="7" t="inlineStr"/>
      <c r="F6" s="13" t="n"/>
    </row>
    <row r="7">
      <c r="A7" s="7" t="inlineStr">
        <is>
          <t>Project title</t>
        </is>
      </c>
      <c r="B7" s="12" t="n"/>
      <c r="C7" s="7" t="inlineStr">
        <is>
          <t>Shown on the dashboard only</t>
        </is>
      </c>
      <c r="F7" s="13" t="n"/>
    </row>
    <row r="8">
      <c r="A8" s="7" t="inlineStr">
        <is>
          <t>Data date (ageing computed to this date)</t>
        </is>
      </c>
      <c r="B8" s="14">
        <f>TODAY()</f>
        <v/>
      </c>
      <c r="C8" s="7" t="inlineStr">
        <is>
          <t>Overwrite with a fixed date for a reported snapshot (O-DEC-180)</t>
        </is>
      </c>
      <c r="F8" s="13" t="n"/>
    </row>
    <row r="9">
      <c r="A9" s="7" t="inlineStr">
        <is>
          <t>Weekend code for working days (1 = Saturday + Sunday)</t>
        </is>
      </c>
      <c r="B9" s="12" t="n">
        <v>1</v>
      </c>
      <c r="C9" s="7" t="inlineStr">
        <is>
          <t>Excel WORKDAY.INTL weekend code</t>
        </is>
      </c>
      <c r="F9" s="13" t="n"/>
    </row>
    <row r="10">
      <c r="A10" s="7" t="inlineStr">
        <is>
          <t>Submittal review, calendar days</t>
        </is>
      </c>
      <c r="B10" s="12" t="n">
        <v>14</v>
      </c>
      <c r="C10" s="7" t="inlineStr">
        <is>
          <t>O-DEC-176; contract value governs (FIDIC 2017: 21 days)</t>
        </is>
      </c>
      <c r="F10" s="13" t="n"/>
    </row>
    <row r="11">
      <c r="A11" s="7" t="inlineStr">
        <is>
          <t>RFI answer, calendar days</t>
        </is>
      </c>
      <c r="B11" s="12" t="n">
        <v>7</v>
      </c>
      <c r="C11" s="7" t="inlineStr">
        <is>
          <t>O-DEC-176; KPI K-SV-03</t>
        </is>
      </c>
      <c r="F11" s="13" t="n"/>
    </row>
    <row r="12">
      <c r="A12" s="7" t="inlineStr">
        <is>
          <t>Inspection request notice, working days</t>
        </is>
      </c>
      <c r="B12" s="12" t="n">
        <v>1</v>
      </c>
      <c r="C12" s="7" t="inlineStr">
        <is>
          <t>O-DEC-176</t>
        </is>
      </c>
      <c r="F12" s="13" t="n"/>
    </row>
    <row r="13">
      <c r="A13" s="7" t="inlineStr">
        <is>
          <t>SOR / field observation response, working days</t>
        </is>
      </c>
      <c r="B13" s="12" t="n">
        <v>3</v>
      </c>
      <c r="C13" s="7" t="inlineStr">
        <is>
          <t>Office SOR form: then converted to NCR</t>
        </is>
      </c>
      <c r="F13" s="13" t="n"/>
    </row>
    <row r="14">
      <c r="A14" s="7" t="inlineStr">
        <is>
          <t>NCR close-out, calendar days</t>
        </is>
      </c>
      <c r="B14" s="12" t="n">
        <v>14</v>
      </c>
      <c r="C14" s="7" t="inlineStr">
        <is>
          <t>Office NCR log practice</t>
        </is>
      </c>
      <c r="F14" s="13" t="n"/>
    </row>
    <row r="15">
      <c r="A15" s="7" t="inlineStr">
        <is>
          <t>Site instruction acknowledgement, working days</t>
        </is>
      </c>
      <c r="B15" s="12" t="n">
        <v>2</v>
      </c>
      <c r="C15" s="7" t="inlineStr">
        <is>
          <t>O-DEC-176</t>
        </is>
      </c>
      <c r="F15" s="13" t="n"/>
    </row>
    <row r="16">
      <c r="A16" s="7" t="inlineStr">
        <is>
          <t>Site visit report issue, working days</t>
        </is>
      </c>
      <c r="B16" s="12" t="n">
        <v>2</v>
      </c>
      <c r="C16" s="7" t="inlineStr">
        <is>
          <t>O-DEC-152; KPI K-SV-01</t>
        </is>
      </c>
      <c r="F16" s="13" t="n"/>
    </row>
    <row r="17">
      <c r="A17" s="7" t="inlineStr">
        <is>
          <t>Transmittal acknowledgement, working days</t>
        </is>
      </c>
      <c r="B17" s="12" t="n">
        <v>2</v>
      </c>
      <c r="C17" s="7" t="inlineStr">
        <is>
          <t>QP-10</t>
        </is>
      </c>
      <c r="F17" s="13" t="n"/>
    </row>
    <row r="18">
      <c r="A18" s="7" t="inlineStr">
        <is>
          <t>Minutes issue, working days</t>
        </is>
      </c>
      <c r="B18" s="12" t="n">
        <v>2</v>
      </c>
      <c r="C18" s="7" t="inlineStr">
        <is>
          <t>O-DEC-176</t>
        </is>
      </c>
      <c r="F18" s="13" t="n"/>
    </row>
    <row r="19">
      <c r="A19" s="7" t="inlineStr">
        <is>
          <t>Review comment response, working days</t>
        </is>
      </c>
      <c r="B19" s="12" t="n">
        <v>10</v>
      </c>
      <c r="C19" s="7" t="inlineStr">
        <is>
          <t>O-DEC-176; KPI K-DR-02</t>
        </is>
      </c>
      <c r="F19" s="13" t="n"/>
    </row>
    <row r="20">
      <c r="A20" s="7" t="inlineStr">
        <is>
          <t>Variation evaluation, calendar days</t>
        </is>
      </c>
      <c r="B20" s="12" t="n">
        <v>14</v>
      </c>
      <c r="C20" s="7" t="inlineStr">
        <is>
          <t>From a complete proposal</t>
        </is>
      </c>
      <c r="F20" s="13" t="n"/>
    </row>
    <row r="21">
      <c r="A21" s="7" t="inlineStr">
        <is>
          <t>Authority decision when a row gives none, calendar days</t>
        </is>
      </c>
      <c r="B21" s="12" t="n">
        <v>14</v>
      </c>
      <c r="C21" s="7" t="inlineStr">
        <is>
          <t>Enter the authority service time per row where known</t>
        </is>
      </c>
      <c r="F21" s="13" t="n"/>
    </row>
    <row r="22">
      <c r="A22" s="7" t="inlineStr">
        <is>
          <t>Warn before NOC or warranty expiry, days</t>
        </is>
      </c>
      <c r="B22" s="12" t="n">
        <v>30</v>
      </c>
      <c r="C22" s="7" t="inlineStr"/>
      <c r="F22" s="13" t="n"/>
    </row>
    <row r="23">
      <c r="A23" s="7" t="inlineStr">
        <is>
          <t>Contract sum (variation % of contract)</t>
        </is>
      </c>
      <c r="B23" s="12" t="n"/>
      <c r="C23" s="7" t="inlineStr">
        <is>
          <t>Currency of the contract</t>
        </is>
      </c>
      <c r="F23" s="13" t="n"/>
    </row>
    <row r="24">
      <c r="F24" s="13" t="n"/>
    </row>
    <row r="25">
      <c r="F25" s="13" t="n"/>
    </row>
    <row r="26">
      <c r="F26" s="13" t="n"/>
    </row>
    <row r="27">
      <c r="F27" s="13" t="n"/>
    </row>
    <row r="28">
      <c r="F28" s="13" t="n"/>
    </row>
    <row r="29">
      <c r="F29" s="13" t="n"/>
    </row>
    <row r="30">
      <c r="F30" s="13" t="n"/>
    </row>
    <row r="31">
      <c r="F31" s="13" t="n"/>
    </row>
    <row r="32">
      <c r="F32" s="13" t="n"/>
    </row>
    <row r="33">
      <c r="F33" s="13" t="n"/>
    </row>
    <row r="34">
      <c r="F34" s="13" t="n"/>
    </row>
    <row r="35">
      <c r="F35" s="13" t="n"/>
    </row>
    <row r="36">
      <c r="F36" s="13" t="n"/>
    </row>
    <row r="37">
      <c r="F37" s="13" t="n"/>
    </row>
    <row r="38">
      <c r="F38" s="13" t="n"/>
    </row>
    <row r="39">
      <c r="F39" s="13" t="n"/>
    </row>
    <row r="40">
      <c r="F40" s="13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9A7B45"/>
    <outlinePr summaryBelow="1" summaryRight="1"/>
    <pageSetUpPr fitToPage="1"/>
  </sheetPr>
  <dimension ref="A1:AP50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9" customWidth="1" min="2" max="2"/>
    <col width="12" customWidth="1" min="3" max="3"/>
    <col width="16" customWidth="1" min="4" max="4"/>
    <col width="22" customWidth="1" min="5" max="5"/>
    <col width="22" customWidth="1" min="6" max="6"/>
    <col width="14" customWidth="1" min="7" max="7"/>
    <col width="26" customWidth="1" min="8" max="8"/>
    <col width="14" customWidth="1" min="9" max="9"/>
    <col width="14" customWidth="1" min="10" max="10"/>
    <col width="12" customWidth="1" min="11" max="11"/>
    <col width="12" customWidth="1" min="12" max="12"/>
    <col width="12" customWidth="1" min="13" max="13"/>
    <col width="12" customWidth="1" min="14" max="14"/>
    <col width="11" customWidth="1" min="15" max="15"/>
    <col width="16" customWidth="1" min="16" max="16"/>
    <col width="18" customWidth="1" min="17" max="17"/>
    <col width="24" customWidth="1" min="18" max="18"/>
    <col width="10" customWidth="1" min="19" max="19"/>
    <col width="10" customWidth="1" min="20" max="20"/>
    <col width="10" customWidth="1" min="21" max="21"/>
    <col width="12" customWidth="1" min="22" max="22"/>
    <col width="10" customWidth="1" min="23" max="23"/>
    <col width="22" customWidth="1" min="24" max="24"/>
    <col width="11" customWidth="1" min="25" max="25"/>
    <col width="7" customWidth="1" min="26" max="26"/>
    <col width="7" customWidth="1" min="27" max="27"/>
    <col width="6" customWidth="1" min="28" max="28"/>
    <col width="8" customWidth="1" min="29" max="29"/>
    <col width="7" customWidth="1" min="30" max="30"/>
    <col width="11" customWidth="1" min="31" max="31"/>
    <col width="8" customWidth="1" min="32" max="32"/>
    <col width="11" customWidth="1" min="33" max="33"/>
    <col width="11" customWidth="1" min="34" max="34"/>
    <col width="11" customWidth="1" min="35" max="35"/>
    <col width="8" customWidth="1" min="36" max="36"/>
    <col width="10" customWidth="1" min="37" max="37"/>
    <col width="10" customWidth="1" min="38" max="38"/>
    <col width="12" customWidth="1" min="39" max="39"/>
    <col width="40" customWidth="1" min="40" max="40"/>
    <col width="30" customWidth="1" min="41" max="41"/>
    <col width="30" customWidth="1" min="42" max="42"/>
  </cols>
  <sheetData>
    <row r="1">
      <c r="A1" s="1" t="inlineStr">
        <is>
          <t>TRK-NOC Register</t>
        </is>
      </c>
    </row>
    <row r="2">
      <c r="A2" s="2" t="inlineStr">
        <is>
          <t>One row per authority submission cycle, in the office authority sequence (registration, studies, NOCs, preparatory, access, municipality, design, construction, completion).</t>
        </is>
      </c>
    </row>
    <row r="3">
      <c r="A3" s="8">
        <f>"Project: "&amp;PROJ&amp;"   Data date: "&amp;TEXT(DATADATE,"dd-mmm-yyyy")</f>
        <v/>
      </c>
    </row>
    <row r="5" ht="42" customHeight="1">
      <c r="A5" s="6" t="inlineStr">
        <is>
          <t>SubmissionID</t>
        </is>
      </c>
      <c r="B5" s="6" t="inlineStr">
        <is>
          <t>ProjectID</t>
        </is>
      </c>
      <c r="C5" s="6" t="inlineStr">
        <is>
          <t>PlotID</t>
        </is>
      </c>
      <c r="D5" s="6" t="inlineStr">
        <is>
          <t>Gate</t>
        </is>
      </c>
      <c r="E5" s="6" t="inlineStr">
        <is>
          <t>Authority</t>
        </is>
      </c>
      <c r="F5" s="6" t="inlineStr">
        <is>
          <t>Service and profile ID</t>
        </is>
      </c>
      <c r="G5" s="6" t="inlineStr">
        <is>
          <t>InstrumentIDs</t>
        </is>
      </c>
      <c r="H5" s="6" t="inlineStr">
        <is>
          <t>Required contents</t>
        </is>
      </c>
      <c r="I5" s="6" t="inlineStr">
        <is>
          <t>Prerequisite IDs</t>
        </is>
      </c>
      <c r="J5" s="6" t="inlineStr">
        <is>
          <t>NOC dependency IDs</t>
        </is>
      </c>
      <c r="K5" s="6" t="inlineStr">
        <is>
          <t>Producer</t>
        </is>
      </c>
      <c r="L5" s="6" t="inlineStr">
        <is>
          <t>Checker</t>
        </is>
      </c>
      <c r="M5" s="6" t="inlineStr">
        <is>
          <t>Authoriser</t>
        </is>
      </c>
      <c r="N5" s="6" t="inlineStr">
        <is>
          <t>Information recipient</t>
        </is>
      </c>
      <c r="O5" s="6" t="inlineStr">
        <is>
          <t>Planned date</t>
        </is>
      </c>
      <c r="P5" s="6" t="inlineStr">
        <is>
          <t>Actual receipt</t>
        </is>
      </c>
      <c r="Q5" s="6" t="inlineStr">
        <is>
          <t>Authority decision</t>
        </is>
      </c>
      <c r="R5" s="6" t="inlineStr">
        <is>
          <t>Conditions and expiry</t>
        </is>
      </c>
      <c r="S5" s="6" t="inlineStr">
        <is>
          <t>BoD row</t>
        </is>
      </c>
      <c r="T5" s="6" t="inlineStr">
        <is>
          <t>MIDP row</t>
        </is>
      </c>
      <c r="U5" s="6" t="inlineStr">
        <is>
          <t>State</t>
        </is>
      </c>
      <c r="V5" s="6" t="inlineStr">
        <is>
          <t>Source revision</t>
        </is>
      </c>
      <c r="W5" s="6" t="inlineStr">
        <is>
          <t>ChangeID</t>
        </is>
      </c>
      <c r="X5" s="6" t="inlineStr">
        <is>
          <t>Step</t>
        </is>
      </c>
      <c r="Y5" s="6" t="inlineStr">
        <is>
          <t>Jurisdiction</t>
        </is>
      </c>
      <c r="Z5" s="6" t="inlineStr">
        <is>
          <t>ROLE</t>
        </is>
      </c>
      <c r="AA5" s="6" t="inlineStr">
        <is>
          <t>Seq</t>
        </is>
      </c>
      <c r="AB5" s="6" t="inlineStr">
        <is>
          <t>Rev</t>
        </is>
      </c>
      <c r="AC5" s="6" t="inlineStr">
        <is>
          <t>Current</t>
        </is>
      </c>
      <c r="AD5" s="6" t="inlineStr">
        <is>
          <t>Cycles</t>
        </is>
      </c>
      <c r="AE5" s="6" t="inlineStr">
        <is>
          <t>Submitted</t>
        </is>
      </c>
      <c r="AF5" s="6" t="inlineStr">
        <is>
          <t>Service days</t>
        </is>
      </c>
      <c r="AG5" s="6" t="inlineStr">
        <is>
          <t>Decision date</t>
        </is>
      </c>
      <c r="AH5" s="6" t="inlineStr">
        <is>
          <t>Expiry date</t>
        </is>
      </c>
      <c r="AI5" s="6" t="inlineStr">
        <is>
          <t>Due</t>
        </is>
      </c>
      <c r="AJ5" s="6" t="inlineStr">
        <is>
          <t>Days open</t>
        </is>
      </c>
      <c r="AK5" s="6" t="inlineStr">
        <is>
          <t>Overdue</t>
        </is>
      </c>
      <c r="AL5" s="6" t="inlineStr">
        <is>
          <t>Expiring</t>
        </is>
      </c>
      <c r="AM5" s="6" t="inlineStr">
        <is>
          <t>Action by</t>
        </is>
      </c>
      <c r="AN5" s="6" t="inlineStr">
        <is>
          <t>Updates</t>
        </is>
      </c>
      <c r="AO5" s="6" t="inlineStr">
        <is>
          <t>Evidence (CDE link)</t>
        </is>
      </c>
      <c r="AP5" s="6" t="inlineStr">
        <is>
          <t>Remarks</t>
        </is>
      </c>
    </row>
    <row r="6">
      <c r="A6" s="15">
        <f>IF(AA6="","",PROJ&amp;"-NOC-"&amp;Z6&amp;"-"&amp;TEXT(AA6,"0000"))</f>
        <v/>
      </c>
      <c r="B6" s="15">
        <f>IF(AA6="","",PROJ)</f>
        <v/>
      </c>
      <c r="C6" s="16" t="n"/>
      <c r="D6" s="16" t="n"/>
      <c r="E6" s="16" t="n"/>
      <c r="F6" s="16" t="n"/>
      <c r="G6" s="16" t="n"/>
      <c r="H6" s="16" t="n"/>
      <c r="I6" s="16" t="n"/>
      <c r="J6" s="16" t="n"/>
      <c r="K6" s="16" t="n"/>
      <c r="L6" s="16" t="n"/>
      <c r="M6" s="16" t="n"/>
      <c r="N6" s="16" t="n"/>
      <c r="O6" s="17" t="n"/>
      <c r="P6" s="16" t="n"/>
      <c r="Q6" s="16" t="n"/>
      <c r="R6" s="16" t="n"/>
      <c r="S6" s="16" t="n"/>
      <c r="T6" s="16" t="n"/>
      <c r="U6" s="16" t="n"/>
      <c r="V6" s="16" t="n"/>
      <c r="W6" s="16" t="n"/>
      <c r="X6" s="16" t="n"/>
      <c r="Y6" s="16" t="n"/>
      <c r="Z6" s="16" t="n"/>
      <c r="AA6" s="16" t="n"/>
      <c r="AB6" s="18" t="n"/>
      <c r="AC6" s="15">
        <f>IF(A6="","",IF(AB6=_xlfn.MAXIFS('Register'!$AB$6:$AB$505,'Register'!$A$6:$A$505,A6),"Y","N"))</f>
        <v/>
      </c>
      <c r="AD6" s="15">
        <f>IF(A6="","",COUNTIF('Register'!$A$6:$A$505,A6))</f>
        <v/>
      </c>
      <c r="AE6" s="17" t="n"/>
      <c r="AF6" s="16" t="n"/>
      <c r="AG6" s="17" t="n"/>
      <c r="AH6" s="17" t="n"/>
      <c r="AI6" s="19">
        <f>IF(AE6="","",AE6+IF(AF6="",TA_NOC,AF6))</f>
        <v/>
      </c>
      <c r="AJ6" s="15">
        <f>IF(AE6="","",IF(AG6="",DATADATE,AG6)-AE6)</f>
        <v/>
      </c>
      <c r="AK6" s="15">
        <f>IF(OR(AI6="",AG6&lt;&gt;""),"",IF(DATADATE&gt;AI6,"OVERDUE",""))</f>
        <v/>
      </c>
      <c r="AL6" s="15">
        <f>IF(AH6="","",IF(AH6&lt;DATADATE,"EXPIRED",IF(AH6-DATADATE&lt;=WARN_EXP,"EXPIRING","")))</f>
        <v/>
      </c>
      <c r="AM6" s="16" t="n"/>
      <c r="AN6" s="16" t="n"/>
      <c r="AO6" s="16" t="n"/>
      <c r="AP6" s="16" t="n"/>
    </row>
    <row r="7">
      <c r="A7" s="15">
        <f>IF(AA7="","",PROJ&amp;"-NOC-"&amp;Z7&amp;"-"&amp;TEXT(AA7,"0000"))</f>
        <v/>
      </c>
      <c r="B7" s="15">
        <f>IF(AA7="","",PROJ)</f>
        <v/>
      </c>
      <c r="C7" s="16" t="n"/>
      <c r="D7" s="16" t="n"/>
      <c r="E7" s="16" t="n"/>
      <c r="F7" s="16" t="n"/>
      <c r="G7" s="16" t="n"/>
      <c r="H7" s="16" t="n"/>
      <c r="I7" s="16" t="n"/>
      <c r="J7" s="16" t="n"/>
      <c r="K7" s="16" t="n"/>
      <c r="L7" s="16" t="n"/>
      <c r="M7" s="16" t="n"/>
      <c r="N7" s="16" t="n"/>
      <c r="O7" s="17" t="n"/>
      <c r="P7" s="16" t="n"/>
      <c r="Q7" s="16" t="n"/>
      <c r="R7" s="16" t="n"/>
      <c r="S7" s="16" t="n"/>
      <c r="T7" s="16" t="n"/>
      <c r="U7" s="16" t="n"/>
      <c r="V7" s="16" t="n"/>
      <c r="W7" s="16" t="n"/>
      <c r="X7" s="16" t="n"/>
      <c r="Y7" s="16" t="n"/>
      <c r="Z7" s="16" t="n"/>
      <c r="AA7" s="16" t="n"/>
      <c r="AB7" s="18" t="n"/>
      <c r="AC7" s="15">
        <f>IF(A7="","",IF(AB7=_xlfn.MAXIFS('Register'!$AB$6:$AB$505,'Register'!$A$6:$A$505,A7),"Y","N"))</f>
        <v/>
      </c>
      <c r="AD7" s="15">
        <f>IF(A7="","",COUNTIF('Register'!$A$6:$A$505,A7))</f>
        <v/>
      </c>
      <c r="AE7" s="17" t="n"/>
      <c r="AF7" s="16" t="n"/>
      <c r="AG7" s="17" t="n"/>
      <c r="AH7" s="17" t="n"/>
      <c r="AI7" s="19">
        <f>IF(AE7="","",AE7+IF(AF7="",TA_NOC,AF7))</f>
        <v/>
      </c>
      <c r="AJ7" s="15">
        <f>IF(AE7="","",IF(AG7="",DATADATE,AG7)-AE7)</f>
        <v/>
      </c>
      <c r="AK7" s="15">
        <f>IF(OR(AI7="",AG7&lt;&gt;""),"",IF(DATADATE&gt;AI7,"OVERDUE",""))</f>
        <v/>
      </c>
      <c r="AL7" s="15">
        <f>IF(AH7="","",IF(AH7&lt;DATADATE,"EXPIRED",IF(AH7-DATADATE&lt;=WARN_EXP,"EXPIRING","")))</f>
        <v/>
      </c>
      <c r="AM7" s="16" t="n"/>
      <c r="AN7" s="16" t="n"/>
      <c r="AO7" s="16" t="n"/>
      <c r="AP7" s="16" t="n"/>
    </row>
    <row r="8">
      <c r="A8" s="15">
        <f>IF(AA8="","",PROJ&amp;"-NOC-"&amp;Z8&amp;"-"&amp;TEXT(AA8,"0000"))</f>
        <v/>
      </c>
      <c r="B8" s="15">
        <f>IF(AA8="","",PROJ)</f>
        <v/>
      </c>
      <c r="C8" s="16" t="n"/>
      <c r="D8" s="16" t="n"/>
      <c r="E8" s="16" t="n"/>
      <c r="F8" s="16" t="n"/>
      <c r="G8" s="16" t="n"/>
      <c r="H8" s="16" t="n"/>
      <c r="I8" s="16" t="n"/>
      <c r="J8" s="16" t="n"/>
      <c r="K8" s="16" t="n"/>
      <c r="L8" s="16" t="n"/>
      <c r="M8" s="16" t="n"/>
      <c r="N8" s="16" t="n"/>
      <c r="O8" s="17" t="n"/>
      <c r="P8" s="16" t="n"/>
      <c r="Q8" s="16" t="n"/>
      <c r="R8" s="16" t="n"/>
      <c r="S8" s="16" t="n"/>
      <c r="T8" s="16" t="n"/>
      <c r="U8" s="16" t="n"/>
      <c r="V8" s="16" t="n"/>
      <c r="W8" s="16" t="n"/>
      <c r="X8" s="16" t="n"/>
      <c r="Y8" s="16" t="n"/>
      <c r="Z8" s="16" t="n"/>
      <c r="AA8" s="16" t="n"/>
      <c r="AB8" s="18" t="n"/>
      <c r="AC8" s="15">
        <f>IF(A8="","",IF(AB8=_xlfn.MAXIFS('Register'!$AB$6:$AB$505,'Register'!$A$6:$A$505,A8),"Y","N"))</f>
        <v/>
      </c>
      <c r="AD8" s="15">
        <f>IF(A8="","",COUNTIF('Register'!$A$6:$A$505,A8))</f>
        <v/>
      </c>
      <c r="AE8" s="17" t="n"/>
      <c r="AF8" s="16" t="n"/>
      <c r="AG8" s="17" t="n"/>
      <c r="AH8" s="17" t="n"/>
      <c r="AI8" s="19">
        <f>IF(AE8="","",AE8+IF(AF8="",TA_NOC,AF8))</f>
        <v/>
      </c>
      <c r="AJ8" s="15">
        <f>IF(AE8="","",IF(AG8="",DATADATE,AG8)-AE8)</f>
        <v/>
      </c>
      <c r="AK8" s="15">
        <f>IF(OR(AI8="",AG8&lt;&gt;""),"",IF(DATADATE&gt;AI8,"OVERDUE",""))</f>
        <v/>
      </c>
      <c r="AL8" s="15">
        <f>IF(AH8="","",IF(AH8&lt;DATADATE,"EXPIRED",IF(AH8-DATADATE&lt;=WARN_EXP,"EXPIRING","")))</f>
        <v/>
      </c>
      <c r="AM8" s="16" t="n"/>
      <c r="AN8" s="16" t="n"/>
      <c r="AO8" s="16" t="n"/>
      <c r="AP8" s="16" t="n"/>
    </row>
    <row r="9">
      <c r="A9" s="15">
        <f>IF(AA9="","",PROJ&amp;"-NOC-"&amp;Z9&amp;"-"&amp;TEXT(AA9,"0000"))</f>
        <v/>
      </c>
      <c r="B9" s="15">
        <f>IF(AA9="","",PROJ)</f>
        <v/>
      </c>
      <c r="C9" s="16" t="n"/>
      <c r="D9" s="16" t="n"/>
      <c r="E9" s="16" t="n"/>
      <c r="F9" s="16" t="n"/>
      <c r="G9" s="16" t="n"/>
      <c r="H9" s="16" t="n"/>
      <c r="I9" s="16" t="n"/>
      <c r="J9" s="16" t="n"/>
      <c r="K9" s="16" t="n"/>
      <c r="L9" s="16" t="n"/>
      <c r="M9" s="16" t="n"/>
      <c r="N9" s="16" t="n"/>
      <c r="O9" s="17" t="n"/>
      <c r="P9" s="16" t="n"/>
      <c r="Q9" s="16" t="n"/>
      <c r="R9" s="16" t="n"/>
      <c r="S9" s="16" t="n"/>
      <c r="T9" s="16" t="n"/>
      <c r="U9" s="16" t="n"/>
      <c r="V9" s="16" t="n"/>
      <c r="W9" s="16" t="n"/>
      <c r="X9" s="16" t="n"/>
      <c r="Y9" s="16" t="n"/>
      <c r="Z9" s="16" t="n"/>
      <c r="AA9" s="16" t="n"/>
      <c r="AB9" s="18" t="n"/>
      <c r="AC9" s="15">
        <f>IF(A9="","",IF(AB9=_xlfn.MAXIFS('Register'!$AB$6:$AB$505,'Register'!$A$6:$A$505,A9),"Y","N"))</f>
        <v/>
      </c>
      <c r="AD9" s="15">
        <f>IF(A9="","",COUNTIF('Register'!$A$6:$A$505,A9))</f>
        <v/>
      </c>
      <c r="AE9" s="17" t="n"/>
      <c r="AF9" s="16" t="n"/>
      <c r="AG9" s="17" t="n"/>
      <c r="AH9" s="17" t="n"/>
      <c r="AI9" s="19">
        <f>IF(AE9="","",AE9+IF(AF9="",TA_NOC,AF9))</f>
        <v/>
      </c>
      <c r="AJ9" s="15">
        <f>IF(AE9="","",IF(AG9="",DATADATE,AG9)-AE9)</f>
        <v/>
      </c>
      <c r="AK9" s="15">
        <f>IF(OR(AI9="",AG9&lt;&gt;""),"",IF(DATADATE&gt;AI9,"OVERDUE",""))</f>
        <v/>
      </c>
      <c r="AL9" s="15">
        <f>IF(AH9="","",IF(AH9&lt;DATADATE,"EXPIRED",IF(AH9-DATADATE&lt;=WARN_EXP,"EXPIRING","")))</f>
        <v/>
      </c>
      <c r="AM9" s="16" t="n"/>
      <c r="AN9" s="16" t="n"/>
      <c r="AO9" s="16" t="n"/>
      <c r="AP9" s="16" t="n"/>
    </row>
    <row r="10">
      <c r="A10" s="15">
        <f>IF(AA10="","",PROJ&amp;"-NOC-"&amp;Z10&amp;"-"&amp;TEXT(AA10,"0000"))</f>
        <v/>
      </c>
      <c r="B10" s="15">
        <f>IF(AA10="","",PROJ)</f>
        <v/>
      </c>
      <c r="C10" s="16" t="n"/>
      <c r="D10" s="16" t="n"/>
      <c r="E10" s="16" t="n"/>
      <c r="F10" s="16" t="n"/>
      <c r="G10" s="16" t="n"/>
      <c r="H10" s="16" t="n"/>
      <c r="I10" s="16" t="n"/>
      <c r="J10" s="16" t="n"/>
      <c r="K10" s="16" t="n"/>
      <c r="L10" s="16" t="n"/>
      <c r="M10" s="16" t="n"/>
      <c r="N10" s="16" t="n"/>
      <c r="O10" s="17" t="n"/>
      <c r="P10" s="16" t="n"/>
      <c r="Q10" s="16" t="n"/>
      <c r="R10" s="16" t="n"/>
      <c r="S10" s="16" t="n"/>
      <c r="T10" s="16" t="n"/>
      <c r="U10" s="16" t="n"/>
      <c r="V10" s="16" t="n"/>
      <c r="W10" s="16" t="n"/>
      <c r="X10" s="16" t="n"/>
      <c r="Y10" s="16" t="n"/>
      <c r="Z10" s="16" t="n"/>
      <c r="AA10" s="16" t="n"/>
      <c r="AB10" s="18" t="n"/>
      <c r="AC10" s="15">
        <f>IF(A10="","",IF(AB10=_xlfn.MAXIFS('Register'!$AB$6:$AB$505,'Register'!$A$6:$A$505,A10),"Y","N"))</f>
        <v/>
      </c>
      <c r="AD10" s="15">
        <f>IF(A10="","",COUNTIF('Register'!$A$6:$A$505,A10))</f>
        <v/>
      </c>
      <c r="AE10" s="17" t="n"/>
      <c r="AF10" s="16" t="n"/>
      <c r="AG10" s="17" t="n"/>
      <c r="AH10" s="17" t="n"/>
      <c r="AI10" s="19">
        <f>IF(AE10="","",AE10+IF(AF10="",TA_NOC,AF10))</f>
        <v/>
      </c>
      <c r="AJ10" s="15">
        <f>IF(AE10="","",IF(AG10="",DATADATE,AG10)-AE10)</f>
        <v/>
      </c>
      <c r="AK10" s="15">
        <f>IF(OR(AI10="",AG10&lt;&gt;""),"",IF(DATADATE&gt;AI10,"OVERDUE",""))</f>
        <v/>
      </c>
      <c r="AL10" s="15">
        <f>IF(AH10="","",IF(AH10&lt;DATADATE,"EXPIRED",IF(AH10-DATADATE&lt;=WARN_EXP,"EXPIRING","")))</f>
        <v/>
      </c>
      <c r="AM10" s="16" t="n"/>
      <c r="AN10" s="16" t="n"/>
      <c r="AO10" s="16" t="n"/>
      <c r="AP10" s="16" t="n"/>
    </row>
    <row r="11">
      <c r="A11" s="15">
        <f>IF(AA11="","",PROJ&amp;"-NOC-"&amp;Z11&amp;"-"&amp;TEXT(AA11,"0000"))</f>
        <v/>
      </c>
      <c r="B11" s="15">
        <f>IF(AA11="","",PROJ)</f>
        <v/>
      </c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7" t="n"/>
      <c r="P11" s="16" t="n"/>
      <c r="Q11" s="16" t="n"/>
      <c r="R11" s="16" t="n"/>
      <c r="S11" s="16" t="n"/>
      <c r="T11" s="16" t="n"/>
      <c r="U11" s="16" t="n"/>
      <c r="V11" s="16" t="n"/>
      <c r="W11" s="16" t="n"/>
      <c r="X11" s="16" t="n"/>
      <c r="Y11" s="16" t="n"/>
      <c r="Z11" s="16" t="n"/>
      <c r="AA11" s="16" t="n"/>
      <c r="AB11" s="18" t="n"/>
      <c r="AC11" s="15">
        <f>IF(A11="","",IF(AB11=_xlfn.MAXIFS('Register'!$AB$6:$AB$505,'Register'!$A$6:$A$505,A11),"Y","N"))</f>
        <v/>
      </c>
      <c r="AD11" s="15">
        <f>IF(A11="","",COUNTIF('Register'!$A$6:$A$505,A11))</f>
        <v/>
      </c>
      <c r="AE11" s="17" t="n"/>
      <c r="AF11" s="16" t="n"/>
      <c r="AG11" s="17" t="n"/>
      <c r="AH11" s="17" t="n"/>
      <c r="AI11" s="19">
        <f>IF(AE11="","",AE11+IF(AF11="",TA_NOC,AF11))</f>
        <v/>
      </c>
      <c r="AJ11" s="15">
        <f>IF(AE11="","",IF(AG11="",DATADATE,AG11)-AE11)</f>
        <v/>
      </c>
      <c r="AK11" s="15">
        <f>IF(OR(AI11="",AG11&lt;&gt;""),"",IF(DATADATE&gt;AI11,"OVERDUE",""))</f>
        <v/>
      </c>
      <c r="AL11" s="15">
        <f>IF(AH11="","",IF(AH11&lt;DATADATE,"EXPIRED",IF(AH11-DATADATE&lt;=WARN_EXP,"EXPIRING","")))</f>
        <v/>
      </c>
      <c r="AM11" s="16" t="n"/>
      <c r="AN11" s="16" t="n"/>
      <c r="AO11" s="16" t="n"/>
      <c r="AP11" s="16" t="n"/>
    </row>
    <row r="12">
      <c r="A12" s="15">
        <f>IF(AA12="","",PROJ&amp;"-NOC-"&amp;Z12&amp;"-"&amp;TEXT(AA12,"0000"))</f>
        <v/>
      </c>
      <c r="B12" s="15">
        <f>IF(AA12="","",PROJ)</f>
        <v/>
      </c>
      <c r="C12" s="16" t="n"/>
      <c r="D12" s="16" t="n"/>
      <c r="E12" s="16" t="n"/>
      <c r="F12" s="16" t="n"/>
      <c r="G12" s="16" t="n"/>
      <c r="H12" s="16" t="n"/>
      <c r="I12" s="16" t="n"/>
      <c r="J12" s="16" t="n"/>
      <c r="K12" s="16" t="n"/>
      <c r="L12" s="16" t="n"/>
      <c r="M12" s="16" t="n"/>
      <c r="N12" s="16" t="n"/>
      <c r="O12" s="17" t="n"/>
      <c r="P12" s="16" t="n"/>
      <c r="Q12" s="16" t="n"/>
      <c r="R12" s="16" t="n"/>
      <c r="S12" s="16" t="n"/>
      <c r="T12" s="16" t="n"/>
      <c r="U12" s="16" t="n"/>
      <c r="V12" s="16" t="n"/>
      <c r="W12" s="16" t="n"/>
      <c r="X12" s="16" t="n"/>
      <c r="Y12" s="16" t="n"/>
      <c r="Z12" s="16" t="n"/>
      <c r="AA12" s="16" t="n"/>
      <c r="AB12" s="18" t="n"/>
      <c r="AC12" s="15">
        <f>IF(A12="","",IF(AB12=_xlfn.MAXIFS('Register'!$AB$6:$AB$505,'Register'!$A$6:$A$505,A12),"Y","N"))</f>
        <v/>
      </c>
      <c r="AD12" s="15">
        <f>IF(A12="","",COUNTIF('Register'!$A$6:$A$505,A12))</f>
        <v/>
      </c>
      <c r="AE12" s="17" t="n"/>
      <c r="AF12" s="16" t="n"/>
      <c r="AG12" s="17" t="n"/>
      <c r="AH12" s="17" t="n"/>
      <c r="AI12" s="19">
        <f>IF(AE12="","",AE12+IF(AF12="",TA_NOC,AF12))</f>
        <v/>
      </c>
      <c r="AJ12" s="15">
        <f>IF(AE12="","",IF(AG12="",DATADATE,AG12)-AE12)</f>
        <v/>
      </c>
      <c r="AK12" s="15">
        <f>IF(OR(AI12="",AG12&lt;&gt;""),"",IF(DATADATE&gt;AI12,"OVERDUE",""))</f>
        <v/>
      </c>
      <c r="AL12" s="15">
        <f>IF(AH12="","",IF(AH12&lt;DATADATE,"EXPIRED",IF(AH12-DATADATE&lt;=WARN_EXP,"EXPIRING","")))</f>
        <v/>
      </c>
      <c r="AM12" s="16" t="n"/>
      <c r="AN12" s="16" t="n"/>
      <c r="AO12" s="16" t="n"/>
      <c r="AP12" s="16" t="n"/>
    </row>
    <row r="13">
      <c r="A13" s="15">
        <f>IF(AA13="","",PROJ&amp;"-NOC-"&amp;Z13&amp;"-"&amp;TEXT(AA13,"0000"))</f>
        <v/>
      </c>
      <c r="B13" s="15">
        <f>IF(AA13="","",PROJ)</f>
        <v/>
      </c>
      <c r="C13" s="16" t="n"/>
      <c r="D13" s="16" t="n"/>
      <c r="E13" s="16" t="n"/>
      <c r="F13" s="16" t="n"/>
      <c r="G13" s="16" t="n"/>
      <c r="H13" s="16" t="n"/>
      <c r="I13" s="16" t="n"/>
      <c r="J13" s="16" t="n"/>
      <c r="K13" s="16" t="n"/>
      <c r="L13" s="16" t="n"/>
      <c r="M13" s="16" t="n"/>
      <c r="N13" s="16" t="n"/>
      <c r="O13" s="17" t="n"/>
      <c r="P13" s="16" t="n"/>
      <c r="Q13" s="16" t="n"/>
      <c r="R13" s="16" t="n"/>
      <c r="S13" s="16" t="n"/>
      <c r="T13" s="16" t="n"/>
      <c r="U13" s="16" t="n"/>
      <c r="V13" s="16" t="n"/>
      <c r="W13" s="16" t="n"/>
      <c r="X13" s="16" t="n"/>
      <c r="Y13" s="16" t="n"/>
      <c r="Z13" s="16" t="n"/>
      <c r="AA13" s="16" t="n"/>
      <c r="AB13" s="18" t="n"/>
      <c r="AC13" s="15">
        <f>IF(A13="","",IF(AB13=_xlfn.MAXIFS('Register'!$AB$6:$AB$505,'Register'!$A$6:$A$505,A13),"Y","N"))</f>
        <v/>
      </c>
      <c r="AD13" s="15">
        <f>IF(A13="","",COUNTIF('Register'!$A$6:$A$505,A13))</f>
        <v/>
      </c>
      <c r="AE13" s="17" t="n"/>
      <c r="AF13" s="16" t="n"/>
      <c r="AG13" s="17" t="n"/>
      <c r="AH13" s="17" t="n"/>
      <c r="AI13" s="19">
        <f>IF(AE13="","",AE13+IF(AF13="",TA_NOC,AF13))</f>
        <v/>
      </c>
      <c r="AJ13" s="15">
        <f>IF(AE13="","",IF(AG13="",DATADATE,AG13)-AE13)</f>
        <v/>
      </c>
      <c r="AK13" s="15">
        <f>IF(OR(AI13="",AG13&lt;&gt;""),"",IF(DATADATE&gt;AI13,"OVERDUE",""))</f>
        <v/>
      </c>
      <c r="AL13" s="15">
        <f>IF(AH13="","",IF(AH13&lt;DATADATE,"EXPIRED",IF(AH13-DATADATE&lt;=WARN_EXP,"EXPIRING","")))</f>
        <v/>
      </c>
      <c r="AM13" s="16" t="n"/>
      <c r="AN13" s="16" t="n"/>
      <c r="AO13" s="16" t="n"/>
      <c r="AP13" s="16" t="n"/>
    </row>
    <row r="14">
      <c r="A14" s="15">
        <f>IF(AA14="","",PROJ&amp;"-NOC-"&amp;Z14&amp;"-"&amp;TEXT(AA14,"0000"))</f>
        <v/>
      </c>
      <c r="B14" s="15">
        <f>IF(AA14="","",PROJ)</f>
        <v/>
      </c>
      <c r="C14" s="16" t="n"/>
      <c r="D14" s="16" t="n"/>
      <c r="E14" s="16" t="n"/>
      <c r="F14" s="16" t="n"/>
      <c r="G14" s="16" t="n"/>
      <c r="H14" s="16" t="n"/>
      <c r="I14" s="16" t="n"/>
      <c r="J14" s="16" t="n"/>
      <c r="K14" s="16" t="n"/>
      <c r="L14" s="16" t="n"/>
      <c r="M14" s="16" t="n"/>
      <c r="N14" s="16" t="n"/>
      <c r="O14" s="17" t="n"/>
      <c r="P14" s="16" t="n"/>
      <c r="Q14" s="16" t="n"/>
      <c r="R14" s="16" t="n"/>
      <c r="S14" s="16" t="n"/>
      <c r="T14" s="16" t="n"/>
      <c r="U14" s="16" t="n"/>
      <c r="V14" s="16" t="n"/>
      <c r="W14" s="16" t="n"/>
      <c r="X14" s="16" t="n"/>
      <c r="Y14" s="16" t="n"/>
      <c r="Z14" s="16" t="n"/>
      <c r="AA14" s="16" t="n"/>
      <c r="AB14" s="18" t="n"/>
      <c r="AC14" s="15">
        <f>IF(A14="","",IF(AB14=_xlfn.MAXIFS('Register'!$AB$6:$AB$505,'Register'!$A$6:$A$505,A14),"Y","N"))</f>
        <v/>
      </c>
      <c r="AD14" s="15">
        <f>IF(A14="","",COUNTIF('Register'!$A$6:$A$505,A14))</f>
        <v/>
      </c>
      <c r="AE14" s="17" t="n"/>
      <c r="AF14" s="16" t="n"/>
      <c r="AG14" s="17" t="n"/>
      <c r="AH14" s="17" t="n"/>
      <c r="AI14" s="19">
        <f>IF(AE14="","",AE14+IF(AF14="",TA_NOC,AF14))</f>
        <v/>
      </c>
      <c r="AJ14" s="15">
        <f>IF(AE14="","",IF(AG14="",DATADATE,AG14)-AE14)</f>
        <v/>
      </c>
      <c r="AK14" s="15">
        <f>IF(OR(AI14="",AG14&lt;&gt;""),"",IF(DATADATE&gt;AI14,"OVERDUE",""))</f>
        <v/>
      </c>
      <c r="AL14" s="15">
        <f>IF(AH14="","",IF(AH14&lt;DATADATE,"EXPIRED",IF(AH14-DATADATE&lt;=WARN_EXP,"EXPIRING","")))</f>
        <v/>
      </c>
      <c r="AM14" s="16" t="n"/>
      <c r="AN14" s="16" t="n"/>
      <c r="AO14" s="16" t="n"/>
      <c r="AP14" s="16" t="n"/>
    </row>
    <row r="15">
      <c r="A15" s="15">
        <f>IF(AA15="","",PROJ&amp;"-NOC-"&amp;Z15&amp;"-"&amp;TEXT(AA15,"0000"))</f>
        <v/>
      </c>
      <c r="B15" s="15">
        <f>IF(AA15="","",PROJ)</f>
        <v/>
      </c>
      <c r="C15" s="16" t="n"/>
      <c r="D15" s="16" t="n"/>
      <c r="E15" s="16" t="n"/>
      <c r="F15" s="16" t="n"/>
      <c r="G15" s="16" t="n"/>
      <c r="H15" s="16" t="n"/>
      <c r="I15" s="16" t="n"/>
      <c r="J15" s="16" t="n"/>
      <c r="K15" s="16" t="n"/>
      <c r="L15" s="16" t="n"/>
      <c r="M15" s="16" t="n"/>
      <c r="N15" s="16" t="n"/>
      <c r="O15" s="17" t="n"/>
      <c r="P15" s="16" t="n"/>
      <c r="Q15" s="16" t="n"/>
      <c r="R15" s="16" t="n"/>
      <c r="S15" s="16" t="n"/>
      <c r="T15" s="16" t="n"/>
      <c r="U15" s="16" t="n"/>
      <c r="V15" s="16" t="n"/>
      <c r="W15" s="16" t="n"/>
      <c r="X15" s="16" t="n"/>
      <c r="Y15" s="16" t="n"/>
      <c r="Z15" s="16" t="n"/>
      <c r="AA15" s="16" t="n"/>
      <c r="AB15" s="18" t="n"/>
      <c r="AC15" s="15">
        <f>IF(A15="","",IF(AB15=_xlfn.MAXIFS('Register'!$AB$6:$AB$505,'Register'!$A$6:$A$505,A15),"Y","N"))</f>
        <v/>
      </c>
      <c r="AD15" s="15">
        <f>IF(A15="","",COUNTIF('Register'!$A$6:$A$505,A15))</f>
        <v/>
      </c>
      <c r="AE15" s="17" t="n"/>
      <c r="AF15" s="16" t="n"/>
      <c r="AG15" s="17" t="n"/>
      <c r="AH15" s="17" t="n"/>
      <c r="AI15" s="19">
        <f>IF(AE15="","",AE15+IF(AF15="",TA_NOC,AF15))</f>
        <v/>
      </c>
      <c r="AJ15" s="15">
        <f>IF(AE15="","",IF(AG15="",DATADATE,AG15)-AE15)</f>
        <v/>
      </c>
      <c r="AK15" s="15">
        <f>IF(OR(AI15="",AG15&lt;&gt;""),"",IF(DATADATE&gt;AI15,"OVERDUE",""))</f>
        <v/>
      </c>
      <c r="AL15" s="15">
        <f>IF(AH15="","",IF(AH15&lt;DATADATE,"EXPIRED",IF(AH15-DATADATE&lt;=WARN_EXP,"EXPIRING","")))</f>
        <v/>
      </c>
      <c r="AM15" s="16" t="n"/>
      <c r="AN15" s="16" t="n"/>
      <c r="AO15" s="16" t="n"/>
      <c r="AP15" s="16" t="n"/>
    </row>
    <row r="16">
      <c r="A16" s="15">
        <f>IF(AA16="","",PROJ&amp;"-NOC-"&amp;Z16&amp;"-"&amp;TEXT(AA16,"0000"))</f>
        <v/>
      </c>
      <c r="B16" s="15">
        <f>IF(AA16="","",PROJ)</f>
        <v/>
      </c>
      <c r="C16" s="16" t="n"/>
      <c r="D16" s="16" t="n"/>
      <c r="E16" s="16" t="n"/>
      <c r="F16" s="16" t="n"/>
      <c r="G16" s="16" t="n"/>
      <c r="H16" s="16" t="n"/>
      <c r="I16" s="16" t="n"/>
      <c r="J16" s="16" t="n"/>
      <c r="K16" s="16" t="n"/>
      <c r="L16" s="16" t="n"/>
      <c r="M16" s="16" t="n"/>
      <c r="N16" s="16" t="n"/>
      <c r="O16" s="17" t="n"/>
      <c r="P16" s="16" t="n"/>
      <c r="Q16" s="16" t="n"/>
      <c r="R16" s="16" t="n"/>
      <c r="S16" s="16" t="n"/>
      <c r="T16" s="16" t="n"/>
      <c r="U16" s="16" t="n"/>
      <c r="V16" s="16" t="n"/>
      <c r="W16" s="16" t="n"/>
      <c r="X16" s="16" t="n"/>
      <c r="Y16" s="16" t="n"/>
      <c r="Z16" s="16" t="n"/>
      <c r="AA16" s="16" t="n"/>
      <c r="AB16" s="18" t="n"/>
      <c r="AC16" s="15">
        <f>IF(A16="","",IF(AB16=_xlfn.MAXIFS('Register'!$AB$6:$AB$505,'Register'!$A$6:$A$505,A16),"Y","N"))</f>
        <v/>
      </c>
      <c r="AD16" s="15">
        <f>IF(A16="","",COUNTIF('Register'!$A$6:$A$505,A16))</f>
        <v/>
      </c>
      <c r="AE16" s="17" t="n"/>
      <c r="AF16" s="16" t="n"/>
      <c r="AG16" s="17" t="n"/>
      <c r="AH16" s="17" t="n"/>
      <c r="AI16" s="19">
        <f>IF(AE16="","",AE16+IF(AF16="",TA_NOC,AF16))</f>
        <v/>
      </c>
      <c r="AJ16" s="15">
        <f>IF(AE16="","",IF(AG16="",DATADATE,AG16)-AE16)</f>
        <v/>
      </c>
      <c r="AK16" s="15">
        <f>IF(OR(AI16="",AG16&lt;&gt;""),"",IF(DATADATE&gt;AI16,"OVERDUE",""))</f>
        <v/>
      </c>
      <c r="AL16" s="15">
        <f>IF(AH16="","",IF(AH16&lt;DATADATE,"EXPIRED",IF(AH16-DATADATE&lt;=WARN_EXP,"EXPIRING","")))</f>
        <v/>
      </c>
      <c r="AM16" s="16" t="n"/>
      <c r="AN16" s="16" t="n"/>
      <c r="AO16" s="16" t="n"/>
      <c r="AP16" s="16" t="n"/>
    </row>
    <row r="17">
      <c r="A17" s="15">
        <f>IF(AA17="","",PROJ&amp;"-NOC-"&amp;Z17&amp;"-"&amp;TEXT(AA17,"0000"))</f>
        <v/>
      </c>
      <c r="B17" s="15">
        <f>IF(AA17="","",PROJ)</f>
        <v/>
      </c>
      <c r="C17" s="16" t="n"/>
      <c r="D17" s="16" t="n"/>
      <c r="E17" s="16" t="n"/>
      <c r="F17" s="16" t="n"/>
      <c r="G17" s="16" t="n"/>
      <c r="H17" s="16" t="n"/>
      <c r="I17" s="16" t="n"/>
      <c r="J17" s="16" t="n"/>
      <c r="K17" s="16" t="n"/>
      <c r="L17" s="16" t="n"/>
      <c r="M17" s="16" t="n"/>
      <c r="N17" s="16" t="n"/>
      <c r="O17" s="17" t="n"/>
      <c r="P17" s="16" t="n"/>
      <c r="Q17" s="16" t="n"/>
      <c r="R17" s="16" t="n"/>
      <c r="S17" s="16" t="n"/>
      <c r="T17" s="16" t="n"/>
      <c r="U17" s="16" t="n"/>
      <c r="V17" s="16" t="n"/>
      <c r="W17" s="16" t="n"/>
      <c r="X17" s="16" t="n"/>
      <c r="Y17" s="16" t="n"/>
      <c r="Z17" s="16" t="n"/>
      <c r="AA17" s="16" t="n"/>
      <c r="AB17" s="18" t="n"/>
      <c r="AC17" s="15">
        <f>IF(A17="","",IF(AB17=_xlfn.MAXIFS('Register'!$AB$6:$AB$505,'Register'!$A$6:$A$505,A17),"Y","N"))</f>
        <v/>
      </c>
      <c r="AD17" s="15">
        <f>IF(A17="","",COUNTIF('Register'!$A$6:$A$505,A17))</f>
        <v/>
      </c>
      <c r="AE17" s="17" t="n"/>
      <c r="AF17" s="16" t="n"/>
      <c r="AG17" s="17" t="n"/>
      <c r="AH17" s="17" t="n"/>
      <c r="AI17" s="19">
        <f>IF(AE17="","",AE17+IF(AF17="",TA_NOC,AF17))</f>
        <v/>
      </c>
      <c r="AJ17" s="15">
        <f>IF(AE17="","",IF(AG17="",DATADATE,AG17)-AE17)</f>
        <v/>
      </c>
      <c r="AK17" s="15">
        <f>IF(OR(AI17="",AG17&lt;&gt;""),"",IF(DATADATE&gt;AI17,"OVERDUE",""))</f>
        <v/>
      </c>
      <c r="AL17" s="15">
        <f>IF(AH17="","",IF(AH17&lt;DATADATE,"EXPIRED",IF(AH17-DATADATE&lt;=WARN_EXP,"EXPIRING","")))</f>
        <v/>
      </c>
      <c r="AM17" s="16" t="n"/>
      <c r="AN17" s="16" t="n"/>
      <c r="AO17" s="16" t="n"/>
      <c r="AP17" s="16" t="n"/>
    </row>
    <row r="18">
      <c r="A18" s="15">
        <f>IF(AA18="","",PROJ&amp;"-NOC-"&amp;Z18&amp;"-"&amp;TEXT(AA18,"0000"))</f>
        <v/>
      </c>
      <c r="B18" s="15">
        <f>IF(AA18="","",PROJ)</f>
        <v/>
      </c>
      <c r="C18" s="16" t="n"/>
      <c r="D18" s="16" t="n"/>
      <c r="E18" s="16" t="n"/>
      <c r="F18" s="16" t="n"/>
      <c r="G18" s="16" t="n"/>
      <c r="H18" s="16" t="n"/>
      <c r="I18" s="16" t="n"/>
      <c r="J18" s="16" t="n"/>
      <c r="K18" s="16" t="n"/>
      <c r="L18" s="16" t="n"/>
      <c r="M18" s="16" t="n"/>
      <c r="N18" s="16" t="n"/>
      <c r="O18" s="17" t="n"/>
      <c r="P18" s="16" t="n"/>
      <c r="Q18" s="16" t="n"/>
      <c r="R18" s="16" t="n"/>
      <c r="S18" s="16" t="n"/>
      <c r="T18" s="16" t="n"/>
      <c r="U18" s="16" t="n"/>
      <c r="V18" s="16" t="n"/>
      <c r="W18" s="16" t="n"/>
      <c r="X18" s="16" t="n"/>
      <c r="Y18" s="16" t="n"/>
      <c r="Z18" s="16" t="n"/>
      <c r="AA18" s="16" t="n"/>
      <c r="AB18" s="18" t="n"/>
      <c r="AC18" s="15">
        <f>IF(A18="","",IF(AB18=_xlfn.MAXIFS('Register'!$AB$6:$AB$505,'Register'!$A$6:$A$505,A18),"Y","N"))</f>
        <v/>
      </c>
      <c r="AD18" s="15">
        <f>IF(A18="","",COUNTIF('Register'!$A$6:$A$505,A18))</f>
        <v/>
      </c>
      <c r="AE18" s="17" t="n"/>
      <c r="AF18" s="16" t="n"/>
      <c r="AG18" s="17" t="n"/>
      <c r="AH18" s="17" t="n"/>
      <c r="AI18" s="19">
        <f>IF(AE18="","",AE18+IF(AF18="",TA_NOC,AF18))</f>
        <v/>
      </c>
      <c r="AJ18" s="15">
        <f>IF(AE18="","",IF(AG18="",DATADATE,AG18)-AE18)</f>
        <v/>
      </c>
      <c r="AK18" s="15">
        <f>IF(OR(AI18="",AG18&lt;&gt;""),"",IF(DATADATE&gt;AI18,"OVERDUE",""))</f>
        <v/>
      </c>
      <c r="AL18" s="15">
        <f>IF(AH18="","",IF(AH18&lt;DATADATE,"EXPIRED",IF(AH18-DATADATE&lt;=WARN_EXP,"EXPIRING","")))</f>
        <v/>
      </c>
      <c r="AM18" s="16" t="n"/>
      <c r="AN18" s="16" t="n"/>
      <c r="AO18" s="16" t="n"/>
      <c r="AP18" s="16" t="n"/>
    </row>
    <row r="19">
      <c r="A19" s="15">
        <f>IF(AA19="","",PROJ&amp;"-NOC-"&amp;Z19&amp;"-"&amp;TEXT(AA19,"0000"))</f>
        <v/>
      </c>
      <c r="B19" s="15">
        <f>IF(AA19="","",PROJ)</f>
        <v/>
      </c>
      <c r="C19" s="16" t="n"/>
      <c r="D19" s="16" t="n"/>
      <c r="E19" s="16" t="n"/>
      <c r="F19" s="16" t="n"/>
      <c r="G19" s="16" t="n"/>
      <c r="H19" s="16" t="n"/>
      <c r="I19" s="16" t="n"/>
      <c r="J19" s="16" t="n"/>
      <c r="K19" s="16" t="n"/>
      <c r="L19" s="16" t="n"/>
      <c r="M19" s="16" t="n"/>
      <c r="N19" s="16" t="n"/>
      <c r="O19" s="17" t="n"/>
      <c r="P19" s="16" t="n"/>
      <c r="Q19" s="16" t="n"/>
      <c r="R19" s="16" t="n"/>
      <c r="S19" s="16" t="n"/>
      <c r="T19" s="16" t="n"/>
      <c r="U19" s="16" t="n"/>
      <c r="V19" s="16" t="n"/>
      <c r="W19" s="16" t="n"/>
      <c r="X19" s="16" t="n"/>
      <c r="Y19" s="16" t="n"/>
      <c r="Z19" s="16" t="n"/>
      <c r="AA19" s="16" t="n"/>
      <c r="AB19" s="18" t="n"/>
      <c r="AC19" s="15">
        <f>IF(A19="","",IF(AB19=_xlfn.MAXIFS('Register'!$AB$6:$AB$505,'Register'!$A$6:$A$505,A19),"Y","N"))</f>
        <v/>
      </c>
      <c r="AD19" s="15">
        <f>IF(A19="","",COUNTIF('Register'!$A$6:$A$505,A19))</f>
        <v/>
      </c>
      <c r="AE19" s="17" t="n"/>
      <c r="AF19" s="16" t="n"/>
      <c r="AG19" s="17" t="n"/>
      <c r="AH19" s="17" t="n"/>
      <c r="AI19" s="19">
        <f>IF(AE19="","",AE19+IF(AF19="",TA_NOC,AF19))</f>
        <v/>
      </c>
      <c r="AJ19" s="15">
        <f>IF(AE19="","",IF(AG19="",DATADATE,AG19)-AE19)</f>
        <v/>
      </c>
      <c r="AK19" s="15">
        <f>IF(OR(AI19="",AG19&lt;&gt;""),"",IF(DATADATE&gt;AI19,"OVERDUE",""))</f>
        <v/>
      </c>
      <c r="AL19" s="15">
        <f>IF(AH19="","",IF(AH19&lt;DATADATE,"EXPIRED",IF(AH19-DATADATE&lt;=WARN_EXP,"EXPIRING","")))</f>
        <v/>
      </c>
      <c r="AM19" s="16" t="n"/>
      <c r="AN19" s="16" t="n"/>
      <c r="AO19" s="16" t="n"/>
      <c r="AP19" s="16" t="n"/>
    </row>
    <row r="20">
      <c r="A20" s="15">
        <f>IF(AA20="","",PROJ&amp;"-NOC-"&amp;Z20&amp;"-"&amp;TEXT(AA20,"0000"))</f>
        <v/>
      </c>
      <c r="B20" s="15">
        <f>IF(AA20="","",PROJ)</f>
        <v/>
      </c>
      <c r="C20" s="16" t="n"/>
      <c r="D20" s="16" t="n"/>
      <c r="E20" s="16" t="n"/>
      <c r="F20" s="16" t="n"/>
      <c r="G20" s="16" t="n"/>
      <c r="H20" s="16" t="n"/>
      <c r="I20" s="16" t="n"/>
      <c r="J20" s="16" t="n"/>
      <c r="K20" s="16" t="n"/>
      <c r="L20" s="16" t="n"/>
      <c r="M20" s="16" t="n"/>
      <c r="N20" s="16" t="n"/>
      <c r="O20" s="17" t="n"/>
      <c r="P20" s="16" t="n"/>
      <c r="Q20" s="16" t="n"/>
      <c r="R20" s="16" t="n"/>
      <c r="S20" s="16" t="n"/>
      <c r="T20" s="16" t="n"/>
      <c r="U20" s="16" t="n"/>
      <c r="V20" s="16" t="n"/>
      <c r="W20" s="16" t="n"/>
      <c r="X20" s="16" t="n"/>
      <c r="Y20" s="16" t="n"/>
      <c r="Z20" s="16" t="n"/>
      <c r="AA20" s="16" t="n"/>
      <c r="AB20" s="18" t="n"/>
      <c r="AC20" s="15">
        <f>IF(A20="","",IF(AB20=_xlfn.MAXIFS('Register'!$AB$6:$AB$505,'Register'!$A$6:$A$505,A20),"Y","N"))</f>
        <v/>
      </c>
      <c r="AD20" s="15">
        <f>IF(A20="","",COUNTIF('Register'!$A$6:$A$505,A20))</f>
        <v/>
      </c>
      <c r="AE20" s="17" t="n"/>
      <c r="AF20" s="16" t="n"/>
      <c r="AG20" s="17" t="n"/>
      <c r="AH20" s="17" t="n"/>
      <c r="AI20" s="19">
        <f>IF(AE20="","",AE20+IF(AF20="",TA_NOC,AF20))</f>
        <v/>
      </c>
      <c r="AJ20" s="15">
        <f>IF(AE20="","",IF(AG20="",DATADATE,AG20)-AE20)</f>
        <v/>
      </c>
      <c r="AK20" s="15">
        <f>IF(OR(AI20="",AG20&lt;&gt;""),"",IF(DATADATE&gt;AI20,"OVERDUE",""))</f>
        <v/>
      </c>
      <c r="AL20" s="15">
        <f>IF(AH20="","",IF(AH20&lt;DATADATE,"EXPIRED",IF(AH20-DATADATE&lt;=WARN_EXP,"EXPIRING","")))</f>
        <v/>
      </c>
      <c r="AM20" s="16" t="n"/>
      <c r="AN20" s="16" t="n"/>
      <c r="AO20" s="16" t="n"/>
      <c r="AP20" s="16" t="n"/>
    </row>
    <row r="21">
      <c r="A21" s="15">
        <f>IF(AA21="","",PROJ&amp;"-NOC-"&amp;Z21&amp;"-"&amp;TEXT(AA21,"0000"))</f>
        <v/>
      </c>
      <c r="B21" s="15">
        <f>IF(AA21="","",PROJ)</f>
        <v/>
      </c>
      <c r="C21" s="16" t="n"/>
      <c r="D21" s="16" t="n"/>
      <c r="E21" s="16" t="n"/>
      <c r="F21" s="16" t="n"/>
      <c r="G21" s="16" t="n"/>
      <c r="H21" s="16" t="n"/>
      <c r="I21" s="16" t="n"/>
      <c r="J21" s="16" t="n"/>
      <c r="K21" s="16" t="n"/>
      <c r="L21" s="16" t="n"/>
      <c r="M21" s="16" t="n"/>
      <c r="N21" s="16" t="n"/>
      <c r="O21" s="17" t="n"/>
      <c r="P21" s="16" t="n"/>
      <c r="Q21" s="16" t="n"/>
      <c r="R21" s="16" t="n"/>
      <c r="S21" s="16" t="n"/>
      <c r="T21" s="16" t="n"/>
      <c r="U21" s="16" t="n"/>
      <c r="V21" s="16" t="n"/>
      <c r="W21" s="16" t="n"/>
      <c r="X21" s="16" t="n"/>
      <c r="Y21" s="16" t="n"/>
      <c r="Z21" s="16" t="n"/>
      <c r="AA21" s="16" t="n"/>
      <c r="AB21" s="18" t="n"/>
      <c r="AC21" s="15">
        <f>IF(A21="","",IF(AB21=_xlfn.MAXIFS('Register'!$AB$6:$AB$505,'Register'!$A$6:$A$505,A21),"Y","N"))</f>
        <v/>
      </c>
      <c r="AD21" s="15">
        <f>IF(A21="","",COUNTIF('Register'!$A$6:$A$505,A21))</f>
        <v/>
      </c>
      <c r="AE21" s="17" t="n"/>
      <c r="AF21" s="16" t="n"/>
      <c r="AG21" s="17" t="n"/>
      <c r="AH21" s="17" t="n"/>
      <c r="AI21" s="19">
        <f>IF(AE21="","",AE21+IF(AF21="",TA_NOC,AF21))</f>
        <v/>
      </c>
      <c r="AJ21" s="15">
        <f>IF(AE21="","",IF(AG21="",DATADATE,AG21)-AE21)</f>
        <v/>
      </c>
      <c r="AK21" s="15">
        <f>IF(OR(AI21="",AG21&lt;&gt;""),"",IF(DATADATE&gt;AI21,"OVERDUE",""))</f>
        <v/>
      </c>
      <c r="AL21" s="15">
        <f>IF(AH21="","",IF(AH21&lt;DATADATE,"EXPIRED",IF(AH21-DATADATE&lt;=WARN_EXP,"EXPIRING","")))</f>
        <v/>
      </c>
      <c r="AM21" s="16" t="n"/>
      <c r="AN21" s="16" t="n"/>
      <c r="AO21" s="16" t="n"/>
      <c r="AP21" s="16" t="n"/>
    </row>
    <row r="22">
      <c r="A22" s="15">
        <f>IF(AA22="","",PROJ&amp;"-NOC-"&amp;Z22&amp;"-"&amp;TEXT(AA22,"0000"))</f>
        <v/>
      </c>
      <c r="B22" s="15">
        <f>IF(AA22="","",PROJ)</f>
        <v/>
      </c>
      <c r="C22" s="16" t="n"/>
      <c r="D22" s="16" t="n"/>
      <c r="E22" s="16" t="n"/>
      <c r="F22" s="16" t="n"/>
      <c r="G22" s="16" t="n"/>
      <c r="H22" s="16" t="n"/>
      <c r="I22" s="16" t="n"/>
      <c r="J22" s="16" t="n"/>
      <c r="K22" s="16" t="n"/>
      <c r="L22" s="16" t="n"/>
      <c r="M22" s="16" t="n"/>
      <c r="N22" s="16" t="n"/>
      <c r="O22" s="17" t="n"/>
      <c r="P22" s="16" t="n"/>
      <c r="Q22" s="16" t="n"/>
      <c r="R22" s="16" t="n"/>
      <c r="S22" s="16" t="n"/>
      <c r="T22" s="16" t="n"/>
      <c r="U22" s="16" t="n"/>
      <c r="V22" s="16" t="n"/>
      <c r="W22" s="16" t="n"/>
      <c r="X22" s="16" t="n"/>
      <c r="Y22" s="16" t="n"/>
      <c r="Z22" s="16" t="n"/>
      <c r="AA22" s="16" t="n"/>
      <c r="AB22" s="18" t="n"/>
      <c r="AC22" s="15">
        <f>IF(A22="","",IF(AB22=_xlfn.MAXIFS('Register'!$AB$6:$AB$505,'Register'!$A$6:$A$505,A22),"Y","N"))</f>
        <v/>
      </c>
      <c r="AD22" s="15">
        <f>IF(A22="","",COUNTIF('Register'!$A$6:$A$505,A22))</f>
        <v/>
      </c>
      <c r="AE22" s="17" t="n"/>
      <c r="AF22" s="16" t="n"/>
      <c r="AG22" s="17" t="n"/>
      <c r="AH22" s="17" t="n"/>
      <c r="AI22" s="19">
        <f>IF(AE22="","",AE22+IF(AF22="",TA_NOC,AF22))</f>
        <v/>
      </c>
      <c r="AJ22" s="15">
        <f>IF(AE22="","",IF(AG22="",DATADATE,AG22)-AE22)</f>
        <v/>
      </c>
      <c r="AK22" s="15">
        <f>IF(OR(AI22="",AG22&lt;&gt;""),"",IF(DATADATE&gt;AI22,"OVERDUE",""))</f>
        <v/>
      </c>
      <c r="AL22" s="15">
        <f>IF(AH22="","",IF(AH22&lt;DATADATE,"EXPIRED",IF(AH22-DATADATE&lt;=WARN_EXP,"EXPIRING","")))</f>
        <v/>
      </c>
      <c r="AM22" s="16" t="n"/>
      <c r="AN22" s="16" t="n"/>
      <c r="AO22" s="16" t="n"/>
      <c r="AP22" s="16" t="n"/>
    </row>
    <row r="23">
      <c r="A23" s="15">
        <f>IF(AA23="","",PROJ&amp;"-NOC-"&amp;Z23&amp;"-"&amp;TEXT(AA23,"0000"))</f>
        <v/>
      </c>
      <c r="B23" s="15">
        <f>IF(AA23="","",PROJ)</f>
        <v/>
      </c>
      <c r="C23" s="16" t="n"/>
      <c r="D23" s="16" t="n"/>
      <c r="E23" s="16" t="n"/>
      <c r="F23" s="16" t="n"/>
      <c r="G23" s="16" t="n"/>
      <c r="H23" s="16" t="n"/>
      <c r="I23" s="16" t="n"/>
      <c r="J23" s="16" t="n"/>
      <c r="K23" s="16" t="n"/>
      <c r="L23" s="16" t="n"/>
      <c r="M23" s="16" t="n"/>
      <c r="N23" s="16" t="n"/>
      <c r="O23" s="17" t="n"/>
      <c r="P23" s="16" t="n"/>
      <c r="Q23" s="16" t="n"/>
      <c r="R23" s="16" t="n"/>
      <c r="S23" s="16" t="n"/>
      <c r="T23" s="16" t="n"/>
      <c r="U23" s="16" t="n"/>
      <c r="V23" s="16" t="n"/>
      <c r="W23" s="16" t="n"/>
      <c r="X23" s="16" t="n"/>
      <c r="Y23" s="16" t="n"/>
      <c r="Z23" s="16" t="n"/>
      <c r="AA23" s="16" t="n"/>
      <c r="AB23" s="18" t="n"/>
      <c r="AC23" s="15">
        <f>IF(A23="","",IF(AB23=_xlfn.MAXIFS('Register'!$AB$6:$AB$505,'Register'!$A$6:$A$505,A23),"Y","N"))</f>
        <v/>
      </c>
      <c r="AD23" s="15">
        <f>IF(A23="","",COUNTIF('Register'!$A$6:$A$505,A23))</f>
        <v/>
      </c>
      <c r="AE23" s="17" t="n"/>
      <c r="AF23" s="16" t="n"/>
      <c r="AG23" s="17" t="n"/>
      <c r="AH23" s="17" t="n"/>
      <c r="AI23" s="19">
        <f>IF(AE23="","",AE23+IF(AF23="",TA_NOC,AF23))</f>
        <v/>
      </c>
      <c r="AJ23" s="15">
        <f>IF(AE23="","",IF(AG23="",DATADATE,AG23)-AE23)</f>
        <v/>
      </c>
      <c r="AK23" s="15">
        <f>IF(OR(AI23="",AG23&lt;&gt;""),"",IF(DATADATE&gt;AI23,"OVERDUE",""))</f>
        <v/>
      </c>
      <c r="AL23" s="15">
        <f>IF(AH23="","",IF(AH23&lt;DATADATE,"EXPIRED",IF(AH23-DATADATE&lt;=WARN_EXP,"EXPIRING","")))</f>
        <v/>
      </c>
      <c r="AM23" s="16" t="n"/>
      <c r="AN23" s="16" t="n"/>
      <c r="AO23" s="16" t="n"/>
      <c r="AP23" s="16" t="n"/>
    </row>
    <row r="24">
      <c r="A24" s="15">
        <f>IF(AA24="","",PROJ&amp;"-NOC-"&amp;Z24&amp;"-"&amp;TEXT(AA24,"0000"))</f>
        <v/>
      </c>
      <c r="B24" s="15">
        <f>IF(AA24="","",PROJ)</f>
        <v/>
      </c>
      <c r="C24" s="16" t="n"/>
      <c r="D24" s="16" t="n"/>
      <c r="E24" s="16" t="n"/>
      <c r="F24" s="16" t="n"/>
      <c r="G24" s="16" t="n"/>
      <c r="H24" s="16" t="n"/>
      <c r="I24" s="16" t="n"/>
      <c r="J24" s="16" t="n"/>
      <c r="K24" s="16" t="n"/>
      <c r="L24" s="16" t="n"/>
      <c r="M24" s="16" t="n"/>
      <c r="N24" s="16" t="n"/>
      <c r="O24" s="17" t="n"/>
      <c r="P24" s="16" t="n"/>
      <c r="Q24" s="16" t="n"/>
      <c r="R24" s="16" t="n"/>
      <c r="S24" s="16" t="n"/>
      <c r="T24" s="16" t="n"/>
      <c r="U24" s="16" t="n"/>
      <c r="V24" s="16" t="n"/>
      <c r="W24" s="16" t="n"/>
      <c r="X24" s="16" t="n"/>
      <c r="Y24" s="16" t="n"/>
      <c r="Z24" s="16" t="n"/>
      <c r="AA24" s="16" t="n"/>
      <c r="AB24" s="18" t="n"/>
      <c r="AC24" s="15">
        <f>IF(A24="","",IF(AB24=_xlfn.MAXIFS('Register'!$AB$6:$AB$505,'Register'!$A$6:$A$505,A24),"Y","N"))</f>
        <v/>
      </c>
      <c r="AD24" s="15">
        <f>IF(A24="","",COUNTIF('Register'!$A$6:$A$505,A24))</f>
        <v/>
      </c>
      <c r="AE24" s="17" t="n"/>
      <c r="AF24" s="16" t="n"/>
      <c r="AG24" s="17" t="n"/>
      <c r="AH24" s="17" t="n"/>
      <c r="AI24" s="19">
        <f>IF(AE24="","",AE24+IF(AF24="",TA_NOC,AF24))</f>
        <v/>
      </c>
      <c r="AJ24" s="15">
        <f>IF(AE24="","",IF(AG24="",DATADATE,AG24)-AE24)</f>
        <v/>
      </c>
      <c r="AK24" s="15">
        <f>IF(OR(AI24="",AG24&lt;&gt;""),"",IF(DATADATE&gt;AI24,"OVERDUE",""))</f>
        <v/>
      </c>
      <c r="AL24" s="15">
        <f>IF(AH24="","",IF(AH24&lt;DATADATE,"EXPIRED",IF(AH24-DATADATE&lt;=WARN_EXP,"EXPIRING","")))</f>
        <v/>
      </c>
      <c r="AM24" s="16" t="n"/>
      <c r="AN24" s="16" t="n"/>
      <c r="AO24" s="16" t="n"/>
      <c r="AP24" s="16" t="n"/>
    </row>
    <row r="25">
      <c r="A25" s="15">
        <f>IF(AA25="","",PROJ&amp;"-NOC-"&amp;Z25&amp;"-"&amp;TEXT(AA25,"0000"))</f>
        <v/>
      </c>
      <c r="B25" s="15">
        <f>IF(AA25="","",PROJ)</f>
        <v/>
      </c>
      <c r="C25" s="16" t="n"/>
      <c r="D25" s="16" t="n"/>
      <c r="E25" s="16" t="n"/>
      <c r="F25" s="16" t="n"/>
      <c r="G25" s="16" t="n"/>
      <c r="H25" s="16" t="n"/>
      <c r="I25" s="16" t="n"/>
      <c r="J25" s="16" t="n"/>
      <c r="K25" s="16" t="n"/>
      <c r="L25" s="16" t="n"/>
      <c r="M25" s="16" t="n"/>
      <c r="N25" s="16" t="n"/>
      <c r="O25" s="17" t="n"/>
      <c r="P25" s="16" t="n"/>
      <c r="Q25" s="16" t="n"/>
      <c r="R25" s="16" t="n"/>
      <c r="S25" s="16" t="n"/>
      <c r="T25" s="16" t="n"/>
      <c r="U25" s="16" t="n"/>
      <c r="V25" s="16" t="n"/>
      <c r="W25" s="16" t="n"/>
      <c r="X25" s="16" t="n"/>
      <c r="Y25" s="16" t="n"/>
      <c r="Z25" s="16" t="n"/>
      <c r="AA25" s="16" t="n"/>
      <c r="AB25" s="18" t="n"/>
      <c r="AC25" s="15">
        <f>IF(A25="","",IF(AB25=_xlfn.MAXIFS('Register'!$AB$6:$AB$505,'Register'!$A$6:$A$505,A25),"Y","N"))</f>
        <v/>
      </c>
      <c r="AD25" s="15">
        <f>IF(A25="","",COUNTIF('Register'!$A$6:$A$505,A25))</f>
        <v/>
      </c>
      <c r="AE25" s="17" t="n"/>
      <c r="AF25" s="16" t="n"/>
      <c r="AG25" s="17" t="n"/>
      <c r="AH25" s="17" t="n"/>
      <c r="AI25" s="19">
        <f>IF(AE25="","",AE25+IF(AF25="",TA_NOC,AF25))</f>
        <v/>
      </c>
      <c r="AJ25" s="15">
        <f>IF(AE25="","",IF(AG25="",DATADATE,AG25)-AE25)</f>
        <v/>
      </c>
      <c r="AK25" s="15">
        <f>IF(OR(AI25="",AG25&lt;&gt;""),"",IF(DATADATE&gt;AI25,"OVERDUE",""))</f>
        <v/>
      </c>
      <c r="AL25" s="15">
        <f>IF(AH25="","",IF(AH25&lt;DATADATE,"EXPIRED",IF(AH25-DATADATE&lt;=WARN_EXP,"EXPIRING","")))</f>
        <v/>
      </c>
      <c r="AM25" s="16" t="n"/>
      <c r="AN25" s="16" t="n"/>
      <c r="AO25" s="16" t="n"/>
      <c r="AP25" s="16" t="n"/>
    </row>
    <row r="26">
      <c r="A26" s="15">
        <f>IF(AA26="","",PROJ&amp;"-NOC-"&amp;Z26&amp;"-"&amp;TEXT(AA26,"0000"))</f>
        <v/>
      </c>
      <c r="B26" s="15">
        <f>IF(AA26="","",PROJ)</f>
        <v/>
      </c>
      <c r="C26" s="16" t="n"/>
      <c r="D26" s="16" t="n"/>
      <c r="E26" s="16" t="n"/>
      <c r="F26" s="16" t="n"/>
      <c r="G26" s="16" t="n"/>
      <c r="H26" s="16" t="n"/>
      <c r="I26" s="16" t="n"/>
      <c r="J26" s="16" t="n"/>
      <c r="K26" s="16" t="n"/>
      <c r="L26" s="16" t="n"/>
      <c r="M26" s="16" t="n"/>
      <c r="N26" s="16" t="n"/>
      <c r="O26" s="17" t="n"/>
      <c r="P26" s="16" t="n"/>
      <c r="Q26" s="16" t="n"/>
      <c r="R26" s="16" t="n"/>
      <c r="S26" s="16" t="n"/>
      <c r="T26" s="16" t="n"/>
      <c r="U26" s="16" t="n"/>
      <c r="V26" s="16" t="n"/>
      <c r="W26" s="16" t="n"/>
      <c r="X26" s="16" t="n"/>
      <c r="Y26" s="16" t="n"/>
      <c r="Z26" s="16" t="n"/>
      <c r="AA26" s="16" t="n"/>
      <c r="AB26" s="18" t="n"/>
      <c r="AC26" s="15">
        <f>IF(A26="","",IF(AB26=_xlfn.MAXIFS('Register'!$AB$6:$AB$505,'Register'!$A$6:$A$505,A26),"Y","N"))</f>
        <v/>
      </c>
      <c r="AD26" s="15">
        <f>IF(A26="","",COUNTIF('Register'!$A$6:$A$505,A26))</f>
        <v/>
      </c>
      <c r="AE26" s="17" t="n"/>
      <c r="AF26" s="16" t="n"/>
      <c r="AG26" s="17" t="n"/>
      <c r="AH26" s="17" t="n"/>
      <c r="AI26" s="19">
        <f>IF(AE26="","",AE26+IF(AF26="",TA_NOC,AF26))</f>
        <v/>
      </c>
      <c r="AJ26" s="15">
        <f>IF(AE26="","",IF(AG26="",DATADATE,AG26)-AE26)</f>
        <v/>
      </c>
      <c r="AK26" s="15">
        <f>IF(OR(AI26="",AG26&lt;&gt;""),"",IF(DATADATE&gt;AI26,"OVERDUE",""))</f>
        <v/>
      </c>
      <c r="AL26" s="15">
        <f>IF(AH26="","",IF(AH26&lt;DATADATE,"EXPIRED",IF(AH26-DATADATE&lt;=WARN_EXP,"EXPIRING","")))</f>
        <v/>
      </c>
      <c r="AM26" s="16" t="n"/>
      <c r="AN26" s="16" t="n"/>
      <c r="AO26" s="16" t="n"/>
      <c r="AP26" s="16" t="n"/>
    </row>
    <row r="27">
      <c r="A27" s="15">
        <f>IF(AA27="","",PROJ&amp;"-NOC-"&amp;Z27&amp;"-"&amp;TEXT(AA27,"0000"))</f>
        <v/>
      </c>
      <c r="B27" s="15">
        <f>IF(AA27="","",PROJ)</f>
        <v/>
      </c>
      <c r="C27" s="16" t="n"/>
      <c r="D27" s="16" t="n"/>
      <c r="E27" s="16" t="n"/>
      <c r="F27" s="16" t="n"/>
      <c r="G27" s="16" t="n"/>
      <c r="H27" s="16" t="n"/>
      <c r="I27" s="16" t="n"/>
      <c r="J27" s="16" t="n"/>
      <c r="K27" s="16" t="n"/>
      <c r="L27" s="16" t="n"/>
      <c r="M27" s="16" t="n"/>
      <c r="N27" s="16" t="n"/>
      <c r="O27" s="17" t="n"/>
      <c r="P27" s="16" t="n"/>
      <c r="Q27" s="16" t="n"/>
      <c r="R27" s="16" t="n"/>
      <c r="S27" s="16" t="n"/>
      <c r="T27" s="16" t="n"/>
      <c r="U27" s="16" t="n"/>
      <c r="V27" s="16" t="n"/>
      <c r="W27" s="16" t="n"/>
      <c r="X27" s="16" t="n"/>
      <c r="Y27" s="16" t="n"/>
      <c r="Z27" s="16" t="n"/>
      <c r="AA27" s="16" t="n"/>
      <c r="AB27" s="18" t="n"/>
      <c r="AC27" s="15">
        <f>IF(A27="","",IF(AB27=_xlfn.MAXIFS('Register'!$AB$6:$AB$505,'Register'!$A$6:$A$505,A27),"Y","N"))</f>
        <v/>
      </c>
      <c r="AD27" s="15">
        <f>IF(A27="","",COUNTIF('Register'!$A$6:$A$505,A27))</f>
        <v/>
      </c>
      <c r="AE27" s="17" t="n"/>
      <c r="AF27" s="16" t="n"/>
      <c r="AG27" s="17" t="n"/>
      <c r="AH27" s="17" t="n"/>
      <c r="AI27" s="19">
        <f>IF(AE27="","",AE27+IF(AF27="",TA_NOC,AF27))</f>
        <v/>
      </c>
      <c r="AJ27" s="15">
        <f>IF(AE27="","",IF(AG27="",DATADATE,AG27)-AE27)</f>
        <v/>
      </c>
      <c r="AK27" s="15">
        <f>IF(OR(AI27="",AG27&lt;&gt;""),"",IF(DATADATE&gt;AI27,"OVERDUE",""))</f>
        <v/>
      </c>
      <c r="AL27" s="15">
        <f>IF(AH27="","",IF(AH27&lt;DATADATE,"EXPIRED",IF(AH27-DATADATE&lt;=WARN_EXP,"EXPIRING","")))</f>
        <v/>
      </c>
      <c r="AM27" s="16" t="n"/>
      <c r="AN27" s="16" t="n"/>
      <c r="AO27" s="16" t="n"/>
      <c r="AP27" s="16" t="n"/>
    </row>
    <row r="28">
      <c r="A28" s="15">
        <f>IF(AA28="","",PROJ&amp;"-NOC-"&amp;Z28&amp;"-"&amp;TEXT(AA28,"0000"))</f>
        <v/>
      </c>
      <c r="B28" s="15">
        <f>IF(AA28="","",PROJ)</f>
        <v/>
      </c>
      <c r="C28" s="16" t="n"/>
      <c r="D28" s="16" t="n"/>
      <c r="E28" s="16" t="n"/>
      <c r="F28" s="16" t="n"/>
      <c r="G28" s="16" t="n"/>
      <c r="H28" s="16" t="n"/>
      <c r="I28" s="16" t="n"/>
      <c r="J28" s="16" t="n"/>
      <c r="K28" s="16" t="n"/>
      <c r="L28" s="16" t="n"/>
      <c r="M28" s="16" t="n"/>
      <c r="N28" s="16" t="n"/>
      <c r="O28" s="17" t="n"/>
      <c r="P28" s="16" t="n"/>
      <c r="Q28" s="16" t="n"/>
      <c r="R28" s="16" t="n"/>
      <c r="S28" s="16" t="n"/>
      <c r="T28" s="16" t="n"/>
      <c r="U28" s="16" t="n"/>
      <c r="V28" s="16" t="n"/>
      <c r="W28" s="16" t="n"/>
      <c r="X28" s="16" t="n"/>
      <c r="Y28" s="16" t="n"/>
      <c r="Z28" s="16" t="n"/>
      <c r="AA28" s="16" t="n"/>
      <c r="AB28" s="18" t="n"/>
      <c r="AC28" s="15">
        <f>IF(A28="","",IF(AB28=_xlfn.MAXIFS('Register'!$AB$6:$AB$505,'Register'!$A$6:$A$505,A28),"Y","N"))</f>
        <v/>
      </c>
      <c r="AD28" s="15">
        <f>IF(A28="","",COUNTIF('Register'!$A$6:$A$505,A28))</f>
        <v/>
      </c>
      <c r="AE28" s="17" t="n"/>
      <c r="AF28" s="16" t="n"/>
      <c r="AG28" s="17" t="n"/>
      <c r="AH28" s="17" t="n"/>
      <c r="AI28" s="19">
        <f>IF(AE28="","",AE28+IF(AF28="",TA_NOC,AF28))</f>
        <v/>
      </c>
      <c r="AJ28" s="15">
        <f>IF(AE28="","",IF(AG28="",DATADATE,AG28)-AE28)</f>
        <v/>
      </c>
      <c r="AK28" s="15">
        <f>IF(OR(AI28="",AG28&lt;&gt;""),"",IF(DATADATE&gt;AI28,"OVERDUE",""))</f>
        <v/>
      </c>
      <c r="AL28" s="15">
        <f>IF(AH28="","",IF(AH28&lt;DATADATE,"EXPIRED",IF(AH28-DATADATE&lt;=WARN_EXP,"EXPIRING","")))</f>
        <v/>
      </c>
      <c r="AM28" s="16" t="n"/>
      <c r="AN28" s="16" t="n"/>
      <c r="AO28" s="16" t="n"/>
      <c r="AP28" s="16" t="n"/>
    </row>
    <row r="29">
      <c r="A29" s="15">
        <f>IF(AA29="","",PROJ&amp;"-NOC-"&amp;Z29&amp;"-"&amp;TEXT(AA29,"0000"))</f>
        <v/>
      </c>
      <c r="B29" s="15">
        <f>IF(AA29="","",PROJ)</f>
        <v/>
      </c>
      <c r="C29" s="16" t="n"/>
      <c r="D29" s="16" t="n"/>
      <c r="E29" s="16" t="n"/>
      <c r="F29" s="16" t="n"/>
      <c r="G29" s="16" t="n"/>
      <c r="H29" s="16" t="n"/>
      <c r="I29" s="16" t="n"/>
      <c r="J29" s="16" t="n"/>
      <c r="K29" s="16" t="n"/>
      <c r="L29" s="16" t="n"/>
      <c r="M29" s="16" t="n"/>
      <c r="N29" s="16" t="n"/>
      <c r="O29" s="17" t="n"/>
      <c r="P29" s="16" t="n"/>
      <c r="Q29" s="16" t="n"/>
      <c r="R29" s="16" t="n"/>
      <c r="S29" s="16" t="n"/>
      <c r="T29" s="16" t="n"/>
      <c r="U29" s="16" t="n"/>
      <c r="V29" s="16" t="n"/>
      <c r="W29" s="16" t="n"/>
      <c r="X29" s="16" t="n"/>
      <c r="Y29" s="16" t="n"/>
      <c r="Z29" s="16" t="n"/>
      <c r="AA29" s="16" t="n"/>
      <c r="AB29" s="18" t="n"/>
      <c r="AC29" s="15">
        <f>IF(A29="","",IF(AB29=_xlfn.MAXIFS('Register'!$AB$6:$AB$505,'Register'!$A$6:$A$505,A29),"Y","N"))</f>
        <v/>
      </c>
      <c r="AD29" s="15">
        <f>IF(A29="","",COUNTIF('Register'!$A$6:$A$505,A29))</f>
        <v/>
      </c>
      <c r="AE29" s="17" t="n"/>
      <c r="AF29" s="16" t="n"/>
      <c r="AG29" s="17" t="n"/>
      <c r="AH29" s="17" t="n"/>
      <c r="AI29" s="19">
        <f>IF(AE29="","",AE29+IF(AF29="",TA_NOC,AF29))</f>
        <v/>
      </c>
      <c r="AJ29" s="15">
        <f>IF(AE29="","",IF(AG29="",DATADATE,AG29)-AE29)</f>
        <v/>
      </c>
      <c r="AK29" s="15">
        <f>IF(OR(AI29="",AG29&lt;&gt;""),"",IF(DATADATE&gt;AI29,"OVERDUE",""))</f>
        <v/>
      </c>
      <c r="AL29" s="15">
        <f>IF(AH29="","",IF(AH29&lt;DATADATE,"EXPIRED",IF(AH29-DATADATE&lt;=WARN_EXP,"EXPIRING","")))</f>
        <v/>
      </c>
      <c r="AM29" s="16" t="n"/>
      <c r="AN29" s="16" t="n"/>
      <c r="AO29" s="16" t="n"/>
      <c r="AP29" s="16" t="n"/>
    </row>
    <row r="30">
      <c r="A30" s="15">
        <f>IF(AA30="","",PROJ&amp;"-NOC-"&amp;Z30&amp;"-"&amp;TEXT(AA30,"0000"))</f>
        <v/>
      </c>
      <c r="B30" s="15">
        <f>IF(AA30="","",PROJ)</f>
        <v/>
      </c>
      <c r="C30" s="16" t="n"/>
      <c r="D30" s="16" t="n"/>
      <c r="E30" s="16" t="n"/>
      <c r="F30" s="16" t="n"/>
      <c r="G30" s="16" t="n"/>
      <c r="H30" s="16" t="n"/>
      <c r="I30" s="16" t="n"/>
      <c r="J30" s="16" t="n"/>
      <c r="K30" s="16" t="n"/>
      <c r="L30" s="16" t="n"/>
      <c r="M30" s="16" t="n"/>
      <c r="N30" s="16" t="n"/>
      <c r="O30" s="17" t="n"/>
      <c r="P30" s="16" t="n"/>
      <c r="Q30" s="16" t="n"/>
      <c r="R30" s="16" t="n"/>
      <c r="S30" s="16" t="n"/>
      <c r="T30" s="16" t="n"/>
      <c r="U30" s="16" t="n"/>
      <c r="V30" s="16" t="n"/>
      <c r="W30" s="16" t="n"/>
      <c r="X30" s="16" t="n"/>
      <c r="Y30" s="16" t="n"/>
      <c r="Z30" s="16" t="n"/>
      <c r="AA30" s="16" t="n"/>
      <c r="AB30" s="18" t="n"/>
      <c r="AC30" s="15">
        <f>IF(A30="","",IF(AB30=_xlfn.MAXIFS('Register'!$AB$6:$AB$505,'Register'!$A$6:$A$505,A30),"Y","N"))</f>
        <v/>
      </c>
      <c r="AD30" s="15">
        <f>IF(A30="","",COUNTIF('Register'!$A$6:$A$505,A30))</f>
        <v/>
      </c>
      <c r="AE30" s="17" t="n"/>
      <c r="AF30" s="16" t="n"/>
      <c r="AG30" s="17" t="n"/>
      <c r="AH30" s="17" t="n"/>
      <c r="AI30" s="19">
        <f>IF(AE30="","",AE30+IF(AF30="",TA_NOC,AF30))</f>
        <v/>
      </c>
      <c r="AJ30" s="15">
        <f>IF(AE30="","",IF(AG30="",DATADATE,AG30)-AE30)</f>
        <v/>
      </c>
      <c r="AK30" s="15">
        <f>IF(OR(AI30="",AG30&lt;&gt;""),"",IF(DATADATE&gt;AI30,"OVERDUE",""))</f>
        <v/>
      </c>
      <c r="AL30" s="15">
        <f>IF(AH30="","",IF(AH30&lt;DATADATE,"EXPIRED",IF(AH30-DATADATE&lt;=WARN_EXP,"EXPIRING","")))</f>
        <v/>
      </c>
      <c r="AM30" s="16" t="n"/>
      <c r="AN30" s="16" t="n"/>
      <c r="AO30" s="16" t="n"/>
      <c r="AP30" s="16" t="n"/>
    </row>
    <row r="31">
      <c r="A31" s="15">
        <f>IF(AA31="","",PROJ&amp;"-NOC-"&amp;Z31&amp;"-"&amp;TEXT(AA31,"0000"))</f>
        <v/>
      </c>
      <c r="B31" s="15">
        <f>IF(AA31="","",PROJ)</f>
        <v/>
      </c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7" t="n"/>
      <c r="P31" s="16" t="n"/>
      <c r="Q31" s="16" t="n"/>
      <c r="R31" s="16" t="n"/>
      <c r="S31" s="16" t="n"/>
      <c r="T31" s="16" t="n"/>
      <c r="U31" s="16" t="n"/>
      <c r="V31" s="16" t="n"/>
      <c r="W31" s="16" t="n"/>
      <c r="X31" s="16" t="n"/>
      <c r="Y31" s="16" t="n"/>
      <c r="Z31" s="16" t="n"/>
      <c r="AA31" s="16" t="n"/>
      <c r="AB31" s="18" t="n"/>
      <c r="AC31" s="15">
        <f>IF(A31="","",IF(AB31=_xlfn.MAXIFS('Register'!$AB$6:$AB$505,'Register'!$A$6:$A$505,A31),"Y","N"))</f>
        <v/>
      </c>
      <c r="AD31" s="15">
        <f>IF(A31="","",COUNTIF('Register'!$A$6:$A$505,A31))</f>
        <v/>
      </c>
      <c r="AE31" s="17" t="n"/>
      <c r="AF31" s="16" t="n"/>
      <c r="AG31" s="17" t="n"/>
      <c r="AH31" s="17" t="n"/>
      <c r="AI31" s="19">
        <f>IF(AE31="","",AE31+IF(AF31="",TA_NOC,AF31))</f>
        <v/>
      </c>
      <c r="AJ31" s="15">
        <f>IF(AE31="","",IF(AG31="",DATADATE,AG31)-AE31)</f>
        <v/>
      </c>
      <c r="AK31" s="15">
        <f>IF(OR(AI31="",AG31&lt;&gt;""),"",IF(DATADATE&gt;AI31,"OVERDUE",""))</f>
        <v/>
      </c>
      <c r="AL31" s="15">
        <f>IF(AH31="","",IF(AH31&lt;DATADATE,"EXPIRED",IF(AH31-DATADATE&lt;=WARN_EXP,"EXPIRING","")))</f>
        <v/>
      </c>
      <c r="AM31" s="16" t="n"/>
      <c r="AN31" s="16" t="n"/>
      <c r="AO31" s="16" t="n"/>
      <c r="AP31" s="16" t="n"/>
    </row>
    <row r="32">
      <c r="A32" s="15">
        <f>IF(AA32="","",PROJ&amp;"-NOC-"&amp;Z32&amp;"-"&amp;TEXT(AA32,"0000"))</f>
        <v/>
      </c>
      <c r="B32" s="15">
        <f>IF(AA32="","",PROJ)</f>
        <v/>
      </c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7" t="n"/>
      <c r="P32" s="16" t="n"/>
      <c r="Q32" s="16" t="n"/>
      <c r="R32" s="16" t="n"/>
      <c r="S32" s="16" t="n"/>
      <c r="T32" s="16" t="n"/>
      <c r="U32" s="16" t="n"/>
      <c r="V32" s="16" t="n"/>
      <c r="W32" s="16" t="n"/>
      <c r="X32" s="16" t="n"/>
      <c r="Y32" s="16" t="n"/>
      <c r="Z32" s="16" t="n"/>
      <c r="AA32" s="16" t="n"/>
      <c r="AB32" s="18" t="n"/>
      <c r="AC32" s="15">
        <f>IF(A32="","",IF(AB32=_xlfn.MAXIFS('Register'!$AB$6:$AB$505,'Register'!$A$6:$A$505,A32),"Y","N"))</f>
        <v/>
      </c>
      <c r="AD32" s="15">
        <f>IF(A32="","",COUNTIF('Register'!$A$6:$A$505,A32))</f>
        <v/>
      </c>
      <c r="AE32" s="17" t="n"/>
      <c r="AF32" s="16" t="n"/>
      <c r="AG32" s="17" t="n"/>
      <c r="AH32" s="17" t="n"/>
      <c r="AI32" s="19">
        <f>IF(AE32="","",AE32+IF(AF32="",TA_NOC,AF32))</f>
        <v/>
      </c>
      <c r="AJ32" s="15">
        <f>IF(AE32="","",IF(AG32="",DATADATE,AG32)-AE32)</f>
        <v/>
      </c>
      <c r="AK32" s="15">
        <f>IF(OR(AI32="",AG32&lt;&gt;""),"",IF(DATADATE&gt;AI32,"OVERDUE",""))</f>
        <v/>
      </c>
      <c r="AL32" s="15">
        <f>IF(AH32="","",IF(AH32&lt;DATADATE,"EXPIRED",IF(AH32-DATADATE&lt;=WARN_EXP,"EXPIRING","")))</f>
        <v/>
      </c>
      <c r="AM32" s="16" t="n"/>
      <c r="AN32" s="16" t="n"/>
      <c r="AO32" s="16" t="n"/>
      <c r="AP32" s="16" t="n"/>
    </row>
    <row r="33">
      <c r="A33" s="15">
        <f>IF(AA33="","",PROJ&amp;"-NOC-"&amp;Z33&amp;"-"&amp;TEXT(AA33,"0000"))</f>
        <v/>
      </c>
      <c r="B33" s="15">
        <f>IF(AA33="","",PROJ)</f>
        <v/>
      </c>
      <c r="C33" s="16" t="n"/>
      <c r="D33" s="16" t="n"/>
      <c r="E33" s="16" t="n"/>
      <c r="F33" s="16" t="n"/>
      <c r="G33" s="16" t="n"/>
      <c r="H33" s="16" t="n"/>
      <c r="I33" s="16" t="n"/>
      <c r="J33" s="16" t="n"/>
      <c r="K33" s="16" t="n"/>
      <c r="L33" s="16" t="n"/>
      <c r="M33" s="16" t="n"/>
      <c r="N33" s="16" t="n"/>
      <c r="O33" s="17" t="n"/>
      <c r="P33" s="16" t="n"/>
      <c r="Q33" s="16" t="n"/>
      <c r="R33" s="16" t="n"/>
      <c r="S33" s="16" t="n"/>
      <c r="T33" s="16" t="n"/>
      <c r="U33" s="16" t="n"/>
      <c r="V33" s="16" t="n"/>
      <c r="W33" s="16" t="n"/>
      <c r="X33" s="16" t="n"/>
      <c r="Y33" s="16" t="n"/>
      <c r="Z33" s="16" t="n"/>
      <c r="AA33" s="16" t="n"/>
      <c r="AB33" s="18" t="n"/>
      <c r="AC33" s="15">
        <f>IF(A33="","",IF(AB33=_xlfn.MAXIFS('Register'!$AB$6:$AB$505,'Register'!$A$6:$A$505,A33),"Y","N"))</f>
        <v/>
      </c>
      <c r="AD33" s="15">
        <f>IF(A33="","",COUNTIF('Register'!$A$6:$A$505,A33))</f>
        <v/>
      </c>
      <c r="AE33" s="17" t="n"/>
      <c r="AF33" s="16" t="n"/>
      <c r="AG33" s="17" t="n"/>
      <c r="AH33" s="17" t="n"/>
      <c r="AI33" s="19">
        <f>IF(AE33="","",AE33+IF(AF33="",TA_NOC,AF33))</f>
        <v/>
      </c>
      <c r="AJ33" s="15">
        <f>IF(AE33="","",IF(AG33="",DATADATE,AG33)-AE33)</f>
        <v/>
      </c>
      <c r="AK33" s="15">
        <f>IF(OR(AI33="",AG33&lt;&gt;""),"",IF(DATADATE&gt;AI33,"OVERDUE",""))</f>
        <v/>
      </c>
      <c r="AL33" s="15">
        <f>IF(AH33="","",IF(AH33&lt;DATADATE,"EXPIRED",IF(AH33-DATADATE&lt;=WARN_EXP,"EXPIRING","")))</f>
        <v/>
      </c>
      <c r="AM33" s="16" t="n"/>
      <c r="AN33" s="16" t="n"/>
      <c r="AO33" s="16" t="n"/>
      <c r="AP33" s="16" t="n"/>
    </row>
    <row r="34">
      <c r="A34" s="15">
        <f>IF(AA34="","",PROJ&amp;"-NOC-"&amp;Z34&amp;"-"&amp;TEXT(AA34,"0000"))</f>
        <v/>
      </c>
      <c r="B34" s="15">
        <f>IF(AA34="","",PROJ)</f>
        <v/>
      </c>
      <c r="C34" s="16" t="n"/>
      <c r="D34" s="16" t="n"/>
      <c r="E34" s="16" t="n"/>
      <c r="F34" s="16" t="n"/>
      <c r="G34" s="16" t="n"/>
      <c r="H34" s="16" t="n"/>
      <c r="I34" s="16" t="n"/>
      <c r="J34" s="16" t="n"/>
      <c r="K34" s="16" t="n"/>
      <c r="L34" s="16" t="n"/>
      <c r="M34" s="16" t="n"/>
      <c r="N34" s="16" t="n"/>
      <c r="O34" s="17" t="n"/>
      <c r="P34" s="16" t="n"/>
      <c r="Q34" s="16" t="n"/>
      <c r="R34" s="16" t="n"/>
      <c r="S34" s="16" t="n"/>
      <c r="T34" s="16" t="n"/>
      <c r="U34" s="16" t="n"/>
      <c r="V34" s="16" t="n"/>
      <c r="W34" s="16" t="n"/>
      <c r="X34" s="16" t="n"/>
      <c r="Y34" s="16" t="n"/>
      <c r="Z34" s="16" t="n"/>
      <c r="AA34" s="16" t="n"/>
      <c r="AB34" s="18" t="n"/>
      <c r="AC34" s="15">
        <f>IF(A34="","",IF(AB34=_xlfn.MAXIFS('Register'!$AB$6:$AB$505,'Register'!$A$6:$A$505,A34),"Y","N"))</f>
        <v/>
      </c>
      <c r="AD34" s="15">
        <f>IF(A34="","",COUNTIF('Register'!$A$6:$A$505,A34))</f>
        <v/>
      </c>
      <c r="AE34" s="17" t="n"/>
      <c r="AF34" s="16" t="n"/>
      <c r="AG34" s="17" t="n"/>
      <c r="AH34" s="17" t="n"/>
      <c r="AI34" s="19">
        <f>IF(AE34="","",AE34+IF(AF34="",TA_NOC,AF34))</f>
        <v/>
      </c>
      <c r="AJ34" s="15">
        <f>IF(AE34="","",IF(AG34="",DATADATE,AG34)-AE34)</f>
        <v/>
      </c>
      <c r="AK34" s="15">
        <f>IF(OR(AI34="",AG34&lt;&gt;""),"",IF(DATADATE&gt;AI34,"OVERDUE",""))</f>
        <v/>
      </c>
      <c r="AL34" s="15">
        <f>IF(AH34="","",IF(AH34&lt;DATADATE,"EXPIRED",IF(AH34-DATADATE&lt;=WARN_EXP,"EXPIRING","")))</f>
        <v/>
      </c>
      <c r="AM34" s="16" t="n"/>
      <c r="AN34" s="16" t="n"/>
      <c r="AO34" s="16" t="n"/>
      <c r="AP34" s="16" t="n"/>
    </row>
    <row r="35">
      <c r="A35" s="15">
        <f>IF(AA35="","",PROJ&amp;"-NOC-"&amp;Z35&amp;"-"&amp;TEXT(AA35,"0000"))</f>
        <v/>
      </c>
      <c r="B35" s="15">
        <f>IF(AA35="","",PROJ)</f>
        <v/>
      </c>
      <c r="C35" s="16" t="n"/>
      <c r="D35" s="16" t="n"/>
      <c r="E35" s="16" t="n"/>
      <c r="F35" s="16" t="n"/>
      <c r="G35" s="16" t="n"/>
      <c r="H35" s="16" t="n"/>
      <c r="I35" s="16" t="n"/>
      <c r="J35" s="16" t="n"/>
      <c r="K35" s="16" t="n"/>
      <c r="L35" s="16" t="n"/>
      <c r="M35" s="16" t="n"/>
      <c r="N35" s="16" t="n"/>
      <c r="O35" s="17" t="n"/>
      <c r="P35" s="16" t="n"/>
      <c r="Q35" s="16" t="n"/>
      <c r="R35" s="16" t="n"/>
      <c r="S35" s="16" t="n"/>
      <c r="T35" s="16" t="n"/>
      <c r="U35" s="16" t="n"/>
      <c r="V35" s="16" t="n"/>
      <c r="W35" s="16" t="n"/>
      <c r="X35" s="16" t="n"/>
      <c r="Y35" s="16" t="n"/>
      <c r="Z35" s="16" t="n"/>
      <c r="AA35" s="16" t="n"/>
      <c r="AB35" s="18" t="n"/>
      <c r="AC35" s="15">
        <f>IF(A35="","",IF(AB35=_xlfn.MAXIFS('Register'!$AB$6:$AB$505,'Register'!$A$6:$A$505,A35),"Y","N"))</f>
        <v/>
      </c>
      <c r="AD35" s="15">
        <f>IF(A35="","",COUNTIF('Register'!$A$6:$A$505,A35))</f>
        <v/>
      </c>
      <c r="AE35" s="17" t="n"/>
      <c r="AF35" s="16" t="n"/>
      <c r="AG35" s="17" t="n"/>
      <c r="AH35" s="17" t="n"/>
      <c r="AI35" s="19">
        <f>IF(AE35="","",AE35+IF(AF35="",TA_NOC,AF35))</f>
        <v/>
      </c>
      <c r="AJ35" s="15">
        <f>IF(AE35="","",IF(AG35="",DATADATE,AG35)-AE35)</f>
        <v/>
      </c>
      <c r="AK35" s="15">
        <f>IF(OR(AI35="",AG35&lt;&gt;""),"",IF(DATADATE&gt;AI35,"OVERDUE",""))</f>
        <v/>
      </c>
      <c r="AL35" s="15">
        <f>IF(AH35="","",IF(AH35&lt;DATADATE,"EXPIRED",IF(AH35-DATADATE&lt;=WARN_EXP,"EXPIRING","")))</f>
        <v/>
      </c>
      <c r="AM35" s="16" t="n"/>
      <c r="AN35" s="16" t="n"/>
      <c r="AO35" s="16" t="n"/>
      <c r="AP35" s="16" t="n"/>
    </row>
    <row r="36">
      <c r="A36" s="15">
        <f>IF(AA36="","",PROJ&amp;"-NOC-"&amp;Z36&amp;"-"&amp;TEXT(AA36,"0000"))</f>
        <v/>
      </c>
      <c r="B36" s="15">
        <f>IF(AA36="","",PROJ)</f>
        <v/>
      </c>
      <c r="C36" s="16" t="n"/>
      <c r="D36" s="16" t="n"/>
      <c r="E36" s="16" t="n"/>
      <c r="F36" s="16" t="n"/>
      <c r="G36" s="16" t="n"/>
      <c r="H36" s="16" t="n"/>
      <c r="I36" s="16" t="n"/>
      <c r="J36" s="16" t="n"/>
      <c r="K36" s="16" t="n"/>
      <c r="L36" s="16" t="n"/>
      <c r="M36" s="16" t="n"/>
      <c r="N36" s="16" t="n"/>
      <c r="O36" s="17" t="n"/>
      <c r="P36" s="16" t="n"/>
      <c r="Q36" s="16" t="n"/>
      <c r="R36" s="16" t="n"/>
      <c r="S36" s="16" t="n"/>
      <c r="T36" s="16" t="n"/>
      <c r="U36" s="16" t="n"/>
      <c r="V36" s="16" t="n"/>
      <c r="W36" s="16" t="n"/>
      <c r="X36" s="16" t="n"/>
      <c r="Y36" s="16" t="n"/>
      <c r="Z36" s="16" t="n"/>
      <c r="AA36" s="16" t="n"/>
      <c r="AB36" s="18" t="n"/>
      <c r="AC36" s="15">
        <f>IF(A36="","",IF(AB36=_xlfn.MAXIFS('Register'!$AB$6:$AB$505,'Register'!$A$6:$A$505,A36),"Y","N"))</f>
        <v/>
      </c>
      <c r="AD36" s="15">
        <f>IF(A36="","",COUNTIF('Register'!$A$6:$A$505,A36))</f>
        <v/>
      </c>
      <c r="AE36" s="17" t="n"/>
      <c r="AF36" s="16" t="n"/>
      <c r="AG36" s="17" t="n"/>
      <c r="AH36" s="17" t="n"/>
      <c r="AI36" s="19">
        <f>IF(AE36="","",AE36+IF(AF36="",TA_NOC,AF36))</f>
        <v/>
      </c>
      <c r="AJ36" s="15">
        <f>IF(AE36="","",IF(AG36="",DATADATE,AG36)-AE36)</f>
        <v/>
      </c>
      <c r="AK36" s="15">
        <f>IF(OR(AI36="",AG36&lt;&gt;""),"",IF(DATADATE&gt;AI36,"OVERDUE",""))</f>
        <v/>
      </c>
      <c r="AL36" s="15">
        <f>IF(AH36="","",IF(AH36&lt;DATADATE,"EXPIRED",IF(AH36-DATADATE&lt;=WARN_EXP,"EXPIRING","")))</f>
        <v/>
      </c>
      <c r="AM36" s="16" t="n"/>
      <c r="AN36" s="16" t="n"/>
      <c r="AO36" s="16" t="n"/>
      <c r="AP36" s="16" t="n"/>
    </row>
    <row r="37">
      <c r="A37" s="15">
        <f>IF(AA37="","",PROJ&amp;"-NOC-"&amp;Z37&amp;"-"&amp;TEXT(AA37,"0000"))</f>
        <v/>
      </c>
      <c r="B37" s="15">
        <f>IF(AA37="","",PROJ)</f>
        <v/>
      </c>
      <c r="C37" s="16" t="n"/>
      <c r="D37" s="16" t="n"/>
      <c r="E37" s="16" t="n"/>
      <c r="F37" s="16" t="n"/>
      <c r="G37" s="16" t="n"/>
      <c r="H37" s="16" t="n"/>
      <c r="I37" s="16" t="n"/>
      <c r="J37" s="16" t="n"/>
      <c r="K37" s="16" t="n"/>
      <c r="L37" s="16" t="n"/>
      <c r="M37" s="16" t="n"/>
      <c r="N37" s="16" t="n"/>
      <c r="O37" s="17" t="n"/>
      <c r="P37" s="16" t="n"/>
      <c r="Q37" s="16" t="n"/>
      <c r="R37" s="16" t="n"/>
      <c r="S37" s="16" t="n"/>
      <c r="T37" s="16" t="n"/>
      <c r="U37" s="16" t="n"/>
      <c r="V37" s="16" t="n"/>
      <c r="W37" s="16" t="n"/>
      <c r="X37" s="16" t="n"/>
      <c r="Y37" s="16" t="n"/>
      <c r="Z37" s="16" t="n"/>
      <c r="AA37" s="16" t="n"/>
      <c r="AB37" s="18" t="n"/>
      <c r="AC37" s="15">
        <f>IF(A37="","",IF(AB37=_xlfn.MAXIFS('Register'!$AB$6:$AB$505,'Register'!$A$6:$A$505,A37),"Y","N"))</f>
        <v/>
      </c>
      <c r="AD37" s="15">
        <f>IF(A37="","",COUNTIF('Register'!$A$6:$A$505,A37))</f>
        <v/>
      </c>
      <c r="AE37" s="17" t="n"/>
      <c r="AF37" s="16" t="n"/>
      <c r="AG37" s="17" t="n"/>
      <c r="AH37" s="17" t="n"/>
      <c r="AI37" s="19">
        <f>IF(AE37="","",AE37+IF(AF37="",TA_NOC,AF37))</f>
        <v/>
      </c>
      <c r="AJ37" s="15">
        <f>IF(AE37="","",IF(AG37="",DATADATE,AG37)-AE37)</f>
        <v/>
      </c>
      <c r="AK37" s="15">
        <f>IF(OR(AI37="",AG37&lt;&gt;""),"",IF(DATADATE&gt;AI37,"OVERDUE",""))</f>
        <v/>
      </c>
      <c r="AL37" s="15">
        <f>IF(AH37="","",IF(AH37&lt;DATADATE,"EXPIRED",IF(AH37-DATADATE&lt;=WARN_EXP,"EXPIRING","")))</f>
        <v/>
      </c>
      <c r="AM37" s="16" t="n"/>
      <c r="AN37" s="16" t="n"/>
      <c r="AO37" s="16" t="n"/>
      <c r="AP37" s="16" t="n"/>
    </row>
    <row r="38">
      <c r="A38" s="15">
        <f>IF(AA38="","",PROJ&amp;"-NOC-"&amp;Z38&amp;"-"&amp;TEXT(AA38,"0000"))</f>
        <v/>
      </c>
      <c r="B38" s="15">
        <f>IF(AA38="","",PROJ)</f>
        <v/>
      </c>
      <c r="C38" s="16" t="n"/>
      <c r="D38" s="16" t="n"/>
      <c r="E38" s="16" t="n"/>
      <c r="F38" s="16" t="n"/>
      <c r="G38" s="16" t="n"/>
      <c r="H38" s="16" t="n"/>
      <c r="I38" s="16" t="n"/>
      <c r="J38" s="16" t="n"/>
      <c r="K38" s="16" t="n"/>
      <c r="L38" s="16" t="n"/>
      <c r="M38" s="16" t="n"/>
      <c r="N38" s="16" t="n"/>
      <c r="O38" s="17" t="n"/>
      <c r="P38" s="16" t="n"/>
      <c r="Q38" s="16" t="n"/>
      <c r="R38" s="16" t="n"/>
      <c r="S38" s="16" t="n"/>
      <c r="T38" s="16" t="n"/>
      <c r="U38" s="16" t="n"/>
      <c r="V38" s="16" t="n"/>
      <c r="W38" s="16" t="n"/>
      <c r="X38" s="16" t="n"/>
      <c r="Y38" s="16" t="n"/>
      <c r="Z38" s="16" t="n"/>
      <c r="AA38" s="16" t="n"/>
      <c r="AB38" s="18" t="n"/>
      <c r="AC38" s="15">
        <f>IF(A38="","",IF(AB38=_xlfn.MAXIFS('Register'!$AB$6:$AB$505,'Register'!$A$6:$A$505,A38),"Y","N"))</f>
        <v/>
      </c>
      <c r="AD38" s="15">
        <f>IF(A38="","",COUNTIF('Register'!$A$6:$A$505,A38))</f>
        <v/>
      </c>
      <c r="AE38" s="17" t="n"/>
      <c r="AF38" s="16" t="n"/>
      <c r="AG38" s="17" t="n"/>
      <c r="AH38" s="17" t="n"/>
      <c r="AI38" s="19">
        <f>IF(AE38="","",AE38+IF(AF38="",TA_NOC,AF38))</f>
        <v/>
      </c>
      <c r="AJ38" s="15">
        <f>IF(AE38="","",IF(AG38="",DATADATE,AG38)-AE38)</f>
        <v/>
      </c>
      <c r="AK38" s="15">
        <f>IF(OR(AI38="",AG38&lt;&gt;""),"",IF(DATADATE&gt;AI38,"OVERDUE",""))</f>
        <v/>
      </c>
      <c r="AL38" s="15">
        <f>IF(AH38="","",IF(AH38&lt;DATADATE,"EXPIRED",IF(AH38-DATADATE&lt;=WARN_EXP,"EXPIRING","")))</f>
        <v/>
      </c>
      <c r="AM38" s="16" t="n"/>
      <c r="AN38" s="16" t="n"/>
      <c r="AO38" s="16" t="n"/>
      <c r="AP38" s="16" t="n"/>
    </row>
    <row r="39">
      <c r="A39" s="15">
        <f>IF(AA39="","",PROJ&amp;"-NOC-"&amp;Z39&amp;"-"&amp;TEXT(AA39,"0000"))</f>
        <v/>
      </c>
      <c r="B39" s="15">
        <f>IF(AA39="","",PROJ)</f>
        <v/>
      </c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7" t="n"/>
      <c r="P39" s="16" t="n"/>
      <c r="Q39" s="16" t="n"/>
      <c r="R39" s="16" t="n"/>
      <c r="S39" s="16" t="n"/>
      <c r="T39" s="16" t="n"/>
      <c r="U39" s="16" t="n"/>
      <c r="V39" s="16" t="n"/>
      <c r="W39" s="16" t="n"/>
      <c r="X39" s="16" t="n"/>
      <c r="Y39" s="16" t="n"/>
      <c r="Z39" s="16" t="n"/>
      <c r="AA39" s="16" t="n"/>
      <c r="AB39" s="18" t="n"/>
      <c r="AC39" s="15">
        <f>IF(A39="","",IF(AB39=_xlfn.MAXIFS('Register'!$AB$6:$AB$505,'Register'!$A$6:$A$505,A39),"Y","N"))</f>
        <v/>
      </c>
      <c r="AD39" s="15">
        <f>IF(A39="","",COUNTIF('Register'!$A$6:$A$505,A39))</f>
        <v/>
      </c>
      <c r="AE39" s="17" t="n"/>
      <c r="AF39" s="16" t="n"/>
      <c r="AG39" s="17" t="n"/>
      <c r="AH39" s="17" t="n"/>
      <c r="AI39" s="19">
        <f>IF(AE39="","",AE39+IF(AF39="",TA_NOC,AF39))</f>
        <v/>
      </c>
      <c r="AJ39" s="15">
        <f>IF(AE39="","",IF(AG39="",DATADATE,AG39)-AE39)</f>
        <v/>
      </c>
      <c r="AK39" s="15">
        <f>IF(OR(AI39="",AG39&lt;&gt;""),"",IF(DATADATE&gt;AI39,"OVERDUE",""))</f>
        <v/>
      </c>
      <c r="AL39" s="15">
        <f>IF(AH39="","",IF(AH39&lt;DATADATE,"EXPIRED",IF(AH39-DATADATE&lt;=WARN_EXP,"EXPIRING","")))</f>
        <v/>
      </c>
      <c r="AM39" s="16" t="n"/>
      <c r="AN39" s="16" t="n"/>
      <c r="AO39" s="16" t="n"/>
      <c r="AP39" s="16" t="n"/>
    </row>
    <row r="40">
      <c r="A40" s="15">
        <f>IF(AA40="","",PROJ&amp;"-NOC-"&amp;Z40&amp;"-"&amp;TEXT(AA40,"0000"))</f>
        <v/>
      </c>
      <c r="B40" s="15">
        <f>IF(AA40="","",PROJ)</f>
        <v/>
      </c>
      <c r="C40" s="16" t="n"/>
      <c r="D40" s="16" t="n"/>
      <c r="E40" s="16" t="n"/>
      <c r="F40" s="16" t="n"/>
      <c r="G40" s="16" t="n"/>
      <c r="H40" s="16" t="n"/>
      <c r="I40" s="16" t="n"/>
      <c r="J40" s="16" t="n"/>
      <c r="K40" s="16" t="n"/>
      <c r="L40" s="16" t="n"/>
      <c r="M40" s="16" t="n"/>
      <c r="N40" s="16" t="n"/>
      <c r="O40" s="17" t="n"/>
      <c r="P40" s="16" t="n"/>
      <c r="Q40" s="16" t="n"/>
      <c r="R40" s="16" t="n"/>
      <c r="S40" s="16" t="n"/>
      <c r="T40" s="16" t="n"/>
      <c r="U40" s="16" t="n"/>
      <c r="V40" s="16" t="n"/>
      <c r="W40" s="16" t="n"/>
      <c r="X40" s="16" t="n"/>
      <c r="Y40" s="16" t="n"/>
      <c r="Z40" s="16" t="n"/>
      <c r="AA40" s="16" t="n"/>
      <c r="AB40" s="18" t="n"/>
      <c r="AC40" s="15">
        <f>IF(A40="","",IF(AB40=_xlfn.MAXIFS('Register'!$AB$6:$AB$505,'Register'!$A$6:$A$505,A40),"Y","N"))</f>
        <v/>
      </c>
      <c r="AD40" s="15">
        <f>IF(A40="","",COUNTIF('Register'!$A$6:$A$505,A40))</f>
        <v/>
      </c>
      <c r="AE40" s="17" t="n"/>
      <c r="AF40" s="16" t="n"/>
      <c r="AG40" s="17" t="n"/>
      <c r="AH40" s="17" t="n"/>
      <c r="AI40" s="19">
        <f>IF(AE40="","",AE40+IF(AF40="",TA_NOC,AF40))</f>
        <v/>
      </c>
      <c r="AJ40" s="15">
        <f>IF(AE40="","",IF(AG40="",DATADATE,AG40)-AE40)</f>
        <v/>
      </c>
      <c r="AK40" s="15">
        <f>IF(OR(AI40="",AG40&lt;&gt;""),"",IF(DATADATE&gt;AI40,"OVERDUE",""))</f>
        <v/>
      </c>
      <c r="AL40" s="15">
        <f>IF(AH40="","",IF(AH40&lt;DATADATE,"EXPIRED",IF(AH40-DATADATE&lt;=WARN_EXP,"EXPIRING","")))</f>
        <v/>
      </c>
      <c r="AM40" s="16" t="n"/>
      <c r="AN40" s="16" t="n"/>
      <c r="AO40" s="16" t="n"/>
      <c r="AP40" s="16" t="n"/>
    </row>
    <row r="41">
      <c r="A41" s="15">
        <f>IF(AA41="","",PROJ&amp;"-NOC-"&amp;Z41&amp;"-"&amp;TEXT(AA41,"0000"))</f>
        <v/>
      </c>
      <c r="B41" s="15">
        <f>IF(AA41="","",PROJ)</f>
        <v/>
      </c>
      <c r="C41" s="16" t="n"/>
      <c r="D41" s="16" t="n"/>
      <c r="E41" s="16" t="n"/>
      <c r="F41" s="16" t="n"/>
      <c r="G41" s="16" t="n"/>
      <c r="H41" s="16" t="n"/>
      <c r="I41" s="16" t="n"/>
      <c r="J41" s="16" t="n"/>
      <c r="K41" s="16" t="n"/>
      <c r="L41" s="16" t="n"/>
      <c r="M41" s="16" t="n"/>
      <c r="N41" s="16" t="n"/>
      <c r="O41" s="17" t="n"/>
      <c r="P41" s="16" t="n"/>
      <c r="Q41" s="16" t="n"/>
      <c r="R41" s="16" t="n"/>
      <c r="S41" s="16" t="n"/>
      <c r="T41" s="16" t="n"/>
      <c r="U41" s="16" t="n"/>
      <c r="V41" s="16" t="n"/>
      <c r="W41" s="16" t="n"/>
      <c r="X41" s="16" t="n"/>
      <c r="Y41" s="16" t="n"/>
      <c r="Z41" s="16" t="n"/>
      <c r="AA41" s="16" t="n"/>
      <c r="AB41" s="18" t="n"/>
      <c r="AC41" s="15">
        <f>IF(A41="","",IF(AB41=_xlfn.MAXIFS('Register'!$AB$6:$AB$505,'Register'!$A$6:$A$505,A41),"Y","N"))</f>
        <v/>
      </c>
      <c r="AD41" s="15">
        <f>IF(A41="","",COUNTIF('Register'!$A$6:$A$505,A41))</f>
        <v/>
      </c>
      <c r="AE41" s="17" t="n"/>
      <c r="AF41" s="16" t="n"/>
      <c r="AG41" s="17" t="n"/>
      <c r="AH41" s="17" t="n"/>
      <c r="AI41" s="19">
        <f>IF(AE41="","",AE41+IF(AF41="",TA_NOC,AF41))</f>
        <v/>
      </c>
      <c r="AJ41" s="15">
        <f>IF(AE41="","",IF(AG41="",DATADATE,AG41)-AE41)</f>
        <v/>
      </c>
      <c r="AK41" s="15">
        <f>IF(OR(AI41="",AG41&lt;&gt;""),"",IF(DATADATE&gt;AI41,"OVERDUE",""))</f>
        <v/>
      </c>
      <c r="AL41" s="15">
        <f>IF(AH41="","",IF(AH41&lt;DATADATE,"EXPIRED",IF(AH41-DATADATE&lt;=WARN_EXP,"EXPIRING","")))</f>
        <v/>
      </c>
      <c r="AM41" s="16" t="n"/>
      <c r="AN41" s="16" t="n"/>
      <c r="AO41" s="16" t="n"/>
      <c r="AP41" s="16" t="n"/>
    </row>
    <row r="42">
      <c r="A42" s="15">
        <f>IF(AA42="","",PROJ&amp;"-NOC-"&amp;Z42&amp;"-"&amp;TEXT(AA42,"0000"))</f>
        <v/>
      </c>
      <c r="B42" s="15">
        <f>IF(AA42="","",PROJ)</f>
        <v/>
      </c>
      <c r="C42" s="16" t="n"/>
      <c r="D42" s="16" t="n"/>
      <c r="E42" s="16" t="n"/>
      <c r="F42" s="16" t="n"/>
      <c r="G42" s="16" t="n"/>
      <c r="H42" s="16" t="n"/>
      <c r="I42" s="16" t="n"/>
      <c r="J42" s="16" t="n"/>
      <c r="K42" s="16" t="n"/>
      <c r="L42" s="16" t="n"/>
      <c r="M42" s="16" t="n"/>
      <c r="N42" s="16" t="n"/>
      <c r="O42" s="17" t="n"/>
      <c r="P42" s="16" t="n"/>
      <c r="Q42" s="16" t="n"/>
      <c r="R42" s="16" t="n"/>
      <c r="S42" s="16" t="n"/>
      <c r="T42" s="16" t="n"/>
      <c r="U42" s="16" t="n"/>
      <c r="V42" s="16" t="n"/>
      <c r="W42" s="16" t="n"/>
      <c r="X42" s="16" t="n"/>
      <c r="Y42" s="16" t="n"/>
      <c r="Z42" s="16" t="n"/>
      <c r="AA42" s="16" t="n"/>
      <c r="AB42" s="18" t="n"/>
      <c r="AC42" s="15">
        <f>IF(A42="","",IF(AB42=_xlfn.MAXIFS('Register'!$AB$6:$AB$505,'Register'!$A$6:$A$505,A42),"Y","N"))</f>
        <v/>
      </c>
      <c r="AD42" s="15">
        <f>IF(A42="","",COUNTIF('Register'!$A$6:$A$505,A42))</f>
        <v/>
      </c>
      <c r="AE42" s="17" t="n"/>
      <c r="AF42" s="16" t="n"/>
      <c r="AG42" s="17" t="n"/>
      <c r="AH42" s="17" t="n"/>
      <c r="AI42" s="19">
        <f>IF(AE42="","",AE42+IF(AF42="",TA_NOC,AF42))</f>
        <v/>
      </c>
      <c r="AJ42" s="15">
        <f>IF(AE42="","",IF(AG42="",DATADATE,AG42)-AE42)</f>
        <v/>
      </c>
      <c r="AK42" s="15">
        <f>IF(OR(AI42="",AG42&lt;&gt;""),"",IF(DATADATE&gt;AI42,"OVERDUE",""))</f>
        <v/>
      </c>
      <c r="AL42" s="15">
        <f>IF(AH42="","",IF(AH42&lt;DATADATE,"EXPIRED",IF(AH42-DATADATE&lt;=WARN_EXP,"EXPIRING","")))</f>
        <v/>
      </c>
      <c r="AM42" s="16" t="n"/>
      <c r="AN42" s="16" t="n"/>
      <c r="AO42" s="16" t="n"/>
      <c r="AP42" s="16" t="n"/>
    </row>
    <row r="43">
      <c r="A43" s="15">
        <f>IF(AA43="","",PROJ&amp;"-NOC-"&amp;Z43&amp;"-"&amp;TEXT(AA43,"0000"))</f>
        <v/>
      </c>
      <c r="B43" s="15">
        <f>IF(AA43="","",PROJ)</f>
        <v/>
      </c>
      <c r="C43" s="16" t="n"/>
      <c r="D43" s="16" t="n"/>
      <c r="E43" s="16" t="n"/>
      <c r="F43" s="16" t="n"/>
      <c r="G43" s="16" t="n"/>
      <c r="H43" s="16" t="n"/>
      <c r="I43" s="16" t="n"/>
      <c r="J43" s="16" t="n"/>
      <c r="K43" s="16" t="n"/>
      <c r="L43" s="16" t="n"/>
      <c r="M43" s="16" t="n"/>
      <c r="N43" s="16" t="n"/>
      <c r="O43" s="17" t="n"/>
      <c r="P43" s="16" t="n"/>
      <c r="Q43" s="16" t="n"/>
      <c r="R43" s="16" t="n"/>
      <c r="S43" s="16" t="n"/>
      <c r="T43" s="16" t="n"/>
      <c r="U43" s="16" t="n"/>
      <c r="V43" s="16" t="n"/>
      <c r="W43" s="16" t="n"/>
      <c r="X43" s="16" t="n"/>
      <c r="Y43" s="16" t="n"/>
      <c r="Z43" s="16" t="n"/>
      <c r="AA43" s="16" t="n"/>
      <c r="AB43" s="18" t="n"/>
      <c r="AC43" s="15">
        <f>IF(A43="","",IF(AB43=_xlfn.MAXIFS('Register'!$AB$6:$AB$505,'Register'!$A$6:$A$505,A43),"Y","N"))</f>
        <v/>
      </c>
      <c r="AD43" s="15">
        <f>IF(A43="","",COUNTIF('Register'!$A$6:$A$505,A43))</f>
        <v/>
      </c>
      <c r="AE43" s="17" t="n"/>
      <c r="AF43" s="16" t="n"/>
      <c r="AG43" s="17" t="n"/>
      <c r="AH43" s="17" t="n"/>
      <c r="AI43" s="19">
        <f>IF(AE43="","",AE43+IF(AF43="",TA_NOC,AF43))</f>
        <v/>
      </c>
      <c r="AJ43" s="15">
        <f>IF(AE43="","",IF(AG43="",DATADATE,AG43)-AE43)</f>
        <v/>
      </c>
      <c r="AK43" s="15">
        <f>IF(OR(AI43="",AG43&lt;&gt;""),"",IF(DATADATE&gt;AI43,"OVERDUE",""))</f>
        <v/>
      </c>
      <c r="AL43" s="15">
        <f>IF(AH43="","",IF(AH43&lt;DATADATE,"EXPIRED",IF(AH43-DATADATE&lt;=WARN_EXP,"EXPIRING","")))</f>
        <v/>
      </c>
      <c r="AM43" s="16" t="n"/>
      <c r="AN43" s="16" t="n"/>
      <c r="AO43" s="16" t="n"/>
      <c r="AP43" s="16" t="n"/>
    </row>
    <row r="44">
      <c r="A44" s="15">
        <f>IF(AA44="","",PROJ&amp;"-NOC-"&amp;Z44&amp;"-"&amp;TEXT(AA44,"0000"))</f>
        <v/>
      </c>
      <c r="B44" s="15">
        <f>IF(AA44="","",PROJ)</f>
        <v/>
      </c>
      <c r="C44" s="16" t="n"/>
      <c r="D44" s="16" t="n"/>
      <c r="E44" s="16" t="n"/>
      <c r="F44" s="16" t="n"/>
      <c r="G44" s="16" t="n"/>
      <c r="H44" s="16" t="n"/>
      <c r="I44" s="16" t="n"/>
      <c r="J44" s="16" t="n"/>
      <c r="K44" s="16" t="n"/>
      <c r="L44" s="16" t="n"/>
      <c r="M44" s="16" t="n"/>
      <c r="N44" s="16" t="n"/>
      <c r="O44" s="17" t="n"/>
      <c r="P44" s="16" t="n"/>
      <c r="Q44" s="16" t="n"/>
      <c r="R44" s="16" t="n"/>
      <c r="S44" s="16" t="n"/>
      <c r="T44" s="16" t="n"/>
      <c r="U44" s="16" t="n"/>
      <c r="V44" s="16" t="n"/>
      <c r="W44" s="16" t="n"/>
      <c r="X44" s="16" t="n"/>
      <c r="Y44" s="16" t="n"/>
      <c r="Z44" s="16" t="n"/>
      <c r="AA44" s="16" t="n"/>
      <c r="AB44" s="18" t="n"/>
      <c r="AC44" s="15">
        <f>IF(A44="","",IF(AB44=_xlfn.MAXIFS('Register'!$AB$6:$AB$505,'Register'!$A$6:$A$505,A44),"Y","N"))</f>
        <v/>
      </c>
      <c r="AD44" s="15">
        <f>IF(A44="","",COUNTIF('Register'!$A$6:$A$505,A44))</f>
        <v/>
      </c>
      <c r="AE44" s="17" t="n"/>
      <c r="AF44" s="16" t="n"/>
      <c r="AG44" s="17" t="n"/>
      <c r="AH44" s="17" t="n"/>
      <c r="AI44" s="19">
        <f>IF(AE44="","",AE44+IF(AF44="",TA_NOC,AF44))</f>
        <v/>
      </c>
      <c r="AJ44" s="15">
        <f>IF(AE44="","",IF(AG44="",DATADATE,AG44)-AE44)</f>
        <v/>
      </c>
      <c r="AK44" s="15">
        <f>IF(OR(AI44="",AG44&lt;&gt;""),"",IF(DATADATE&gt;AI44,"OVERDUE",""))</f>
        <v/>
      </c>
      <c r="AL44" s="15">
        <f>IF(AH44="","",IF(AH44&lt;DATADATE,"EXPIRED",IF(AH44-DATADATE&lt;=WARN_EXP,"EXPIRING","")))</f>
        <v/>
      </c>
      <c r="AM44" s="16" t="n"/>
      <c r="AN44" s="16" t="n"/>
      <c r="AO44" s="16" t="n"/>
      <c r="AP44" s="16" t="n"/>
    </row>
    <row r="45">
      <c r="A45" s="15">
        <f>IF(AA45="","",PROJ&amp;"-NOC-"&amp;Z45&amp;"-"&amp;TEXT(AA45,"0000"))</f>
        <v/>
      </c>
      <c r="B45" s="15">
        <f>IF(AA45="","",PROJ)</f>
        <v/>
      </c>
      <c r="C45" s="16" t="n"/>
      <c r="D45" s="16" t="n"/>
      <c r="E45" s="16" t="n"/>
      <c r="F45" s="16" t="n"/>
      <c r="G45" s="16" t="n"/>
      <c r="H45" s="16" t="n"/>
      <c r="I45" s="16" t="n"/>
      <c r="J45" s="16" t="n"/>
      <c r="K45" s="16" t="n"/>
      <c r="L45" s="16" t="n"/>
      <c r="M45" s="16" t="n"/>
      <c r="N45" s="16" t="n"/>
      <c r="O45" s="17" t="n"/>
      <c r="P45" s="16" t="n"/>
      <c r="Q45" s="16" t="n"/>
      <c r="R45" s="16" t="n"/>
      <c r="S45" s="16" t="n"/>
      <c r="T45" s="16" t="n"/>
      <c r="U45" s="16" t="n"/>
      <c r="V45" s="16" t="n"/>
      <c r="W45" s="16" t="n"/>
      <c r="X45" s="16" t="n"/>
      <c r="Y45" s="16" t="n"/>
      <c r="Z45" s="16" t="n"/>
      <c r="AA45" s="16" t="n"/>
      <c r="AB45" s="18" t="n"/>
      <c r="AC45" s="15">
        <f>IF(A45="","",IF(AB45=_xlfn.MAXIFS('Register'!$AB$6:$AB$505,'Register'!$A$6:$A$505,A45),"Y","N"))</f>
        <v/>
      </c>
      <c r="AD45" s="15">
        <f>IF(A45="","",COUNTIF('Register'!$A$6:$A$505,A45))</f>
        <v/>
      </c>
      <c r="AE45" s="17" t="n"/>
      <c r="AF45" s="16" t="n"/>
      <c r="AG45" s="17" t="n"/>
      <c r="AH45" s="17" t="n"/>
      <c r="AI45" s="19">
        <f>IF(AE45="","",AE45+IF(AF45="",TA_NOC,AF45))</f>
        <v/>
      </c>
      <c r="AJ45" s="15">
        <f>IF(AE45="","",IF(AG45="",DATADATE,AG45)-AE45)</f>
        <v/>
      </c>
      <c r="AK45" s="15">
        <f>IF(OR(AI45="",AG45&lt;&gt;""),"",IF(DATADATE&gt;AI45,"OVERDUE",""))</f>
        <v/>
      </c>
      <c r="AL45" s="15">
        <f>IF(AH45="","",IF(AH45&lt;DATADATE,"EXPIRED",IF(AH45-DATADATE&lt;=WARN_EXP,"EXPIRING","")))</f>
        <v/>
      </c>
      <c r="AM45" s="16" t="n"/>
      <c r="AN45" s="16" t="n"/>
      <c r="AO45" s="16" t="n"/>
      <c r="AP45" s="16" t="n"/>
    </row>
    <row r="46">
      <c r="A46" s="15">
        <f>IF(AA46="","",PROJ&amp;"-NOC-"&amp;Z46&amp;"-"&amp;TEXT(AA46,"0000"))</f>
        <v/>
      </c>
      <c r="B46" s="15">
        <f>IF(AA46="","",PROJ)</f>
        <v/>
      </c>
      <c r="C46" s="16" t="n"/>
      <c r="D46" s="16" t="n"/>
      <c r="E46" s="16" t="n"/>
      <c r="F46" s="16" t="n"/>
      <c r="G46" s="16" t="n"/>
      <c r="H46" s="16" t="n"/>
      <c r="I46" s="16" t="n"/>
      <c r="J46" s="16" t="n"/>
      <c r="K46" s="16" t="n"/>
      <c r="L46" s="16" t="n"/>
      <c r="M46" s="16" t="n"/>
      <c r="N46" s="16" t="n"/>
      <c r="O46" s="17" t="n"/>
      <c r="P46" s="16" t="n"/>
      <c r="Q46" s="16" t="n"/>
      <c r="R46" s="16" t="n"/>
      <c r="S46" s="16" t="n"/>
      <c r="T46" s="16" t="n"/>
      <c r="U46" s="16" t="n"/>
      <c r="V46" s="16" t="n"/>
      <c r="W46" s="16" t="n"/>
      <c r="X46" s="16" t="n"/>
      <c r="Y46" s="16" t="n"/>
      <c r="Z46" s="16" t="n"/>
      <c r="AA46" s="16" t="n"/>
      <c r="AB46" s="18" t="n"/>
      <c r="AC46" s="15">
        <f>IF(A46="","",IF(AB46=_xlfn.MAXIFS('Register'!$AB$6:$AB$505,'Register'!$A$6:$A$505,A46),"Y","N"))</f>
        <v/>
      </c>
      <c r="AD46" s="15">
        <f>IF(A46="","",COUNTIF('Register'!$A$6:$A$505,A46))</f>
        <v/>
      </c>
      <c r="AE46" s="17" t="n"/>
      <c r="AF46" s="16" t="n"/>
      <c r="AG46" s="17" t="n"/>
      <c r="AH46" s="17" t="n"/>
      <c r="AI46" s="19">
        <f>IF(AE46="","",AE46+IF(AF46="",TA_NOC,AF46))</f>
        <v/>
      </c>
      <c r="AJ46" s="15">
        <f>IF(AE46="","",IF(AG46="",DATADATE,AG46)-AE46)</f>
        <v/>
      </c>
      <c r="AK46" s="15">
        <f>IF(OR(AI46="",AG46&lt;&gt;""),"",IF(DATADATE&gt;AI46,"OVERDUE",""))</f>
        <v/>
      </c>
      <c r="AL46" s="15">
        <f>IF(AH46="","",IF(AH46&lt;DATADATE,"EXPIRED",IF(AH46-DATADATE&lt;=WARN_EXP,"EXPIRING","")))</f>
        <v/>
      </c>
      <c r="AM46" s="16" t="n"/>
      <c r="AN46" s="16" t="n"/>
      <c r="AO46" s="16" t="n"/>
      <c r="AP46" s="16" t="n"/>
    </row>
    <row r="47">
      <c r="A47" s="15">
        <f>IF(AA47="","",PROJ&amp;"-NOC-"&amp;Z47&amp;"-"&amp;TEXT(AA47,"0000"))</f>
        <v/>
      </c>
      <c r="B47" s="15">
        <f>IF(AA47="","",PROJ)</f>
        <v/>
      </c>
      <c r="C47" s="16" t="n"/>
      <c r="D47" s="16" t="n"/>
      <c r="E47" s="16" t="n"/>
      <c r="F47" s="16" t="n"/>
      <c r="G47" s="16" t="n"/>
      <c r="H47" s="16" t="n"/>
      <c r="I47" s="16" t="n"/>
      <c r="J47" s="16" t="n"/>
      <c r="K47" s="16" t="n"/>
      <c r="L47" s="16" t="n"/>
      <c r="M47" s="16" t="n"/>
      <c r="N47" s="16" t="n"/>
      <c r="O47" s="17" t="n"/>
      <c r="P47" s="16" t="n"/>
      <c r="Q47" s="16" t="n"/>
      <c r="R47" s="16" t="n"/>
      <c r="S47" s="16" t="n"/>
      <c r="T47" s="16" t="n"/>
      <c r="U47" s="16" t="n"/>
      <c r="V47" s="16" t="n"/>
      <c r="W47" s="16" t="n"/>
      <c r="X47" s="16" t="n"/>
      <c r="Y47" s="16" t="n"/>
      <c r="Z47" s="16" t="n"/>
      <c r="AA47" s="16" t="n"/>
      <c r="AB47" s="18" t="n"/>
      <c r="AC47" s="15">
        <f>IF(A47="","",IF(AB47=_xlfn.MAXIFS('Register'!$AB$6:$AB$505,'Register'!$A$6:$A$505,A47),"Y","N"))</f>
        <v/>
      </c>
      <c r="AD47" s="15">
        <f>IF(A47="","",COUNTIF('Register'!$A$6:$A$505,A47))</f>
        <v/>
      </c>
      <c r="AE47" s="17" t="n"/>
      <c r="AF47" s="16" t="n"/>
      <c r="AG47" s="17" t="n"/>
      <c r="AH47" s="17" t="n"/>
      <c r="AI47" s="19">
        <f>IF(AE47="","",AE47+IF(AF47="",TA_NOC,AF47))</f>
        <v/>
      </c>
      <c r="AJ47" s="15">
        <f>IF(AE47="","",IF(AG47="",DATADATE,AG47)-AE47)</f>
        <v/>
      </c>
      <c r="AK47" s="15">
        <f>IF(OR(AI47="",AG47&lt;&gt;""),"",IF(DATADATE&gt;AI47,"OVERDUE",""))</f>
        <v/>
      </c>
      <c r="AL47" s="15">
        <f>IF(AH47="","",IF(AH47&lt;DATADATE,"EXPIRED",IF(AH47-DATADATE&lt;=WARN_EXP,"EXPIRING","")))</f>
        <v/>
      </c>
      <c r="AM47" s="16" t="n"/>
      <c r="AN47" s="16" t="n"/>
      <c r="AO47" s="16" t="n"/>
      <c r="AP47" s="16" t="n"/>
    </row>
    <row r="48">
      <c r="A48" s="15">
        <f>IF(AA48="","",PROJ&amp;"-NOC-"&amp;Z48&amp;"-"&amp;TEXT(AA48,"0000"))</f>
        <v/>
      </c>
      <c r="B48" s="15">
        <f>IF(AA48="","",PROJ)</f>
        <v/>
      </c>
      <c r="C48" s="16" t="n"/>
      <c r="D48" s="16" t="n"/>
      <c r="E48" s="16" t="n"/>
      <c r="F48" s="16" t="n"/>
      <c r="G48" s="16" t="n"/>
      <c r="H48" s="16" t="n"/>
      <c r="I48" s="16" t="n"/>
      <c r="J48" s="16" t="n"/>
      <c r="K48" s="16" t="n"/>
      <c r="L48" s="16" t="n"/>
      <c r="M48" s="16" t="n"/>
      <c r="N48" s="16" t="n"/>
      <c r="O48" s="17" t="n"/>
      <c r="P48" s="16" t="n"/>
      <c r="Q48" s="16" t="n"/>
      <c r="R48" s="16" t="n"/>
      <c r="S48" s="16" t="n"/>
      <c r="T48" s="16" t="n"/>
      <c r="U48" s="16" t="n"/>
      <c r="V48" s="16" t="n"/>
      <c r="W48" s="16" t="n"/>
      <c r="X48" s="16" t="n"/>
      <c r="Y48" s="16" t="n"/>
      <c r="Z48" s="16" t="n"/>
      <c r="AA48" s="16" t="n"/>
      <c r="AB48" s="18" t="n"/>
      <c r="AC48" s="15">
        <f>IF(A48="","",IF(AB48=_xlfn.MAXIFS('Register'!$AB$6:$AB$505,'Register'!$A$6:$A$505,A48),"Y","N"))</f>
        <v/>
      </c>
      <c r="AD48" s="15">
        <f>IF(A48="","",COUNTIF('Register'!$A$6:$A$505,A48))</f>
        <v/>
      </c>
      <c r="AE48" s="17" t="n"/>
      <c r="AF48" s="16" t="n"/>
      <c r="AG48" s="17" t="n"/>
      <c r="AH48" s="17" t="n"/>
      <c r="AI48" s="19">
        <f>IF(AE48="","",AE48+IF(AF48="",TA_NOC,AF48))</f>
        <v/>
      </c>
      <c r="AJ48" s="15">
        <f>IF(AE48="","",IF(AG48="",DATADATE,AG48)-AE48)</f>
        <v/>
      </c>
      <c r="AK48" s="15">
        <f>IF(OR(AI48="",AG48&lt;&gt;""),"",IF(DATADATE&gt;AI48,"OVERDUE",""))</f>
        <v/>
      </c>
      <c r="AL48" s="15">
        <f>IF(AH48="","",IF(AH48&lt;DATADATE,"EXPIRED",IF(AH48-DATADATE&lt;=WARN_EXP,"EXPIRING","")))</f>
        <v/>
      </c>
      <c r="AM48" s="16" t="n"/>
      <c r="AN48" s="16" t="n"/>
      <c r="AO48" s="16" t="n"/>
      <c r="AP48" s="16" t="n"/>
    </row>
    <row r="49">
      <c r="A49" s="15">
        <f>IF(AA49="","",PROJ&amp;"-NOC-"&amp;Z49&amp;"-"&amp;TEXT(AA49,"0000"))</f>
        <v/>
      </c>
      <c r="B49" s="15">
        <f>IF(AA49="","",PROJ)</f>
        <v/>
      </c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7" t="n"/>
      <c r="P49" s="16" t="n"/>
      <c r="Q49" s="16" t="n"/>
      <c r="R49" s="16" t="n"/>
      <c r="S49" s="16" t="n"/>
      <c r="T49" s="16" t="n"/>
      <c r="U49" s="16" t="n"/>
      <c r="V49" s="16" t="n"/>
      <c r="W49" s="16" t="n"/>
      <c r="X49" s="16" t="n"/>
      <c r="Y49" s="16" t="n"/>
      <c r="Z49" s="16" t="n"/>
      <c r="AA49" s="16" t="n"/>
      <c r="AB49" s="18" t="n"/>
      <c r="AC49" s="15">
        <f>IF(A49="","",IF(AB49=_xlfn.MAXIFS('Register'!$AB$6:$AB$505,'Register'!$A$6:$A$505,A49),"Y","N"))</f>
        <v/>
      </c>
      <c r="AD49" s="15">
        <f>IF(A49="","",COUNTIF('Register'!$A$6:$A$505,A49))</f>
        <v/>
      </c>
      <c r="AE49" s="17" t="n"/>
      <c r="AF49" s="16" t="n"/>
      <c r="AG49" s="17" t="n"/>
      <c r="AH49" s="17" t="n"/>
      <c r="AI49" s="19">
        <f>IF(AE49="","",AE49+IF(AF49="",TA_NOC,AF49))</f>
        <v/>
      </c>
      <c r="AJ49" s="15">
        <f>IF(AE49="","",IF(AG49="",DATADATE,AG49)-AE49)</f>
        <v/>
      </c>
      <c r="AK49" s="15">
        <f>IF(OR(AI49="",AG49&lt;&gt;""),"",IF(DATADATE&gt;AI49,"OVERDUE",""))</f>
        <v/>
      </c>
      <c r="AL49" s="15">
        <f>IF(AH49="","",IF(AH49&lt;DATADATE,"EXPIRED",IF(AH49-DATADATE&lt;=WARN_EXP,"EXPIRING","")))</f>
        <v/>
      </c>
      <c r="AM49" s="16" t="n"/>
      <c r="AN49" s="16" t="n"/>
      <c r="AO49" s="16" t="n"/>
      <c r="AP49" s="16" t="n"/>
    </row>
    <row r="50">
      <c r="A50" s="15">
        <f>IF(AA50="","",PROJ&amp;"-NOC-"&amp;Z50&amp;"-"&amp;TEXT(AA50,"0000"))</f>
        <v/>
      </c>
      <c r="B50" s="15">
        <f>IF(AA50="","",PROJ)</f>
        <v/>
      </c>
      <c r="C50" s="16" t="n"/>
      <c r="D50" s="16" t="n"/>
      <c r="E50" s="16" t="n"/>
      <c r="F50" s="16" t="n"/>
      <c r="G50" s="16" t="n"/>
      <c r="H50" s="16" t="n"/>
      <c r="I50" s="16" t="n"/>
      <c r="J50" s="16" t="n"/>
      <c r="K50" s="16" t="n"/>
      <c r="L50" s="16" t="n"/>
      <c r="M50" s="16" t="n"/>
      <c r="N50" s="16" t="n"/>
      <c r="O50" s="17" t="n"/>
      <c r="P50" s="16" t="n"/>
      <c r="Q50" s="16" t="n"/>
      <c r="R50" s="16" t="n"/>
      <c r="S50" s="16" t="n"/>
      <c r="T50" s="16" t="n"/>
      <c r="U50" s="16" t="n"/>
      <c r="V50" s="16" t="n"/>
      <c r="W50" s="16" t="n"/>
      <c r="X50" s="16" t="n"/>
      <c r="Y50" s="16" t="n"/>
      <c r="Z50" s="16" t="n"/>
      <c r="AA50" s="16" t="n"/>
      <c r="AB50" s="18" t="n"/>
      <c r="AC50" s="15">
        <f>IF(A50="","",IF(AB50=_xlfn.MAXIFS('Register'!$AB$6:$AB$505,'Register'!$A$6:$A$505,A50),"Y","N"))</f>
        <v/>
      </c>
      <c r="AD50" s="15">
        <f>IF(A50="","",COUNTIF('Register'!$A$6:$A$505,A50))</f>
        <v/>
      </c>
      <c r="AE50" s="17" t="n"/>
      <c r="AF50" s="16" t="n"/>
      <c r="AG50" s="17" t="n"/>
      <c r="AH50" s="17" t="n"/>
      <c r="AI50" s="19">
        <f>IF(AE50="","",AE50+IF(AF50="",TA_NOC,AF50))</f>
        <v/>
      </c>
      <c r="AJ50" s="15">
        <f>IF(AE50="","",IF(AG50="",DATADATE,AG50)-AE50)</f>
        <v/>
      </c>
      <c r="AK50" s="15">
        <f>IF(OR(AI50="",AG50&lt;&gt;""),"",IF(DATADATE&gt;AI50,"OVERDUE",""))</f>
        <v/>
      </c>
      <c r="AL50" s="15">
        <f>IF(AH50="","",IF(AH50&lt;DATADATE,"EXPIRED",IF(AH50-DATADATE&lt;=WARN_EXP,"EXPIRING","")))</f>
        <v/>
      </c>
      <c r="AM50" s="16" t="n"/>
      <c r="AN50" s="16" t="n"/>
      <c r="AO50" s="16" t="n"/>
      <c r="AP50" s="16" t="n"/>
    </row>
    <row r="51">
      <c r="A51" s="15">
        <f>IF(AA51="","",PROJ&amp;"-NOC-"&amp;Z51&amp;"-"&amp;TEXT(AA51,"0000"))</f>
        <v/>
      </c>
      <c r="B51" s="15">
        <f>IF(AA51="","",PROJ)</f>
        <v/>
      </c>
      <c r="C51" s="16" t="n"/>
      <c r="D51" s="16" t="n"/>
      <c r="E51" s="16" t="n"/>
      <c r="F51" s="16" t="n"/>
      <c r="G51" s="16" t="n"/>
      <c r="H51" s="16" t="n"/>
      <c r="I51" s="16" t="n"/>
      <c r="J51" s="16" t="n"/>
      <c r="K51" s="16" t="n"/>
      <c r="L51" s="16" t="n"/>
      <c r="M51" s="16" t="n"/>
      <c r="N51" s="16" t="n"/>
      <c r="O51" s="17" t="n"/>
      <c r="P51" s="16" t="n"/>
      <c r="Q51" s="16" t="n"/>
      <c r="R51" s="16" t="n"/>
      <c r="S51" s="16" t="n"/>
      <c r="T51" s="16" t="n"/>
      <c r="U51" s="16" t="n"/>
      <c r="V51" s="16" t="n"/>
      <c r="W51" s="16" t="n"/>
      <c r="X51" s="16" t="n"/>
      <c r="Y51" s="16" t="n"/>
      <c r="Z51" s="16" t="n"/>
      <c r="AA51" s="16" t="n"/>
      <c r="AB51" s="18" t="n"/>
      <c r="AC51" s="15">
        <f>IF(A51="","",IF(AB51=_xlfn.MAXIFS('Register'!$AB$6:$AB$505,'Register'!$A$6:$A$505,A51),"Y","N"))</f>
        <v/>
      </c>
      <c r="AD51" s="15">
        <f>IF(A51="","",COUNTIF('Register'!$A$6:$A$505,A51))</f>
        <v/>
      </c>
      <c r="AE51" s="17" t="n"/>
      <c r="AF51" s="16" t="n"/>
      <c r="AG51" s="17" t="n"/>
      <c r="AH51" s="17" t="n"/>
      <c r="AI51" s="19">
        <f>IF(AE51="","",AE51+IF(AF51="",TA_NOC,AF51))</f>
        <v/>
      </c>
      <c r="AJ51" s="15">
        <f>IF(AE51="","",IF(AG51="",DATADATE,AG51)-AE51)</f>
        <v/>
      </c>
      <c r="AK51" s="15">
        <f>IF(OR(AI51="",AG51&lt;&gt;""),"",IF(DATADATE&gt;AI51,"OVERDUE",""))</f>
        <v/>
      </c>
      <c r="AL51" s="15">
        <f>IF(AH51="","",IF(AH51&lt;DATADATE,"EXPIRED",IF(AH51-DATADATE&lt;=WARN_EXP,"EXPIRING","")))</f>
        <v/>
      </c>
      <c r="AM51" s="16" t="n"/>
      <c r="AN51" s="16" t="n"/>
      <c r="AO51" s="16" t="n"/>
      <c r="AP51" s="16" t="n"/>
    </row>
    <row r="52">
      <c r="A52" s="15">
        <f>IF(AA52="","",PROJ&amp;"-NOC-"&amp;Z52&amp;"-"&amp;TEXT(AA52,"0000"))</f>
        <v/>
      </c>
      <c r="B52" s="15">
        <f>IF(AA52="","",PROJ)</f>
        <v/>
      </c>
      <c r="C52" s="16" t="n"/>
      <c r="D52" s="16" t="n"/>
      <c r="E52" s="16" t="n"/>
      <c r="F52" s="16" t="n"/>
      <c r="G52" s="16" t="n"/>
      <c r="H52" s="16" t="n"/>
      <c r="I52" s="16" t="n"/>
      <c r="J52" s="16" t="n"/>
      <c r="K52" s="16" t="n"/>
      <c r="L52" s="16" t="n"/>
      <c r="M52" s="16" t="n"/>
      <c r="N52" s="16" t="n"/>
      <c r="O52" s="17" t="n"/>
      <c r="P52" s="16" t="n"/>
      <c r="Q52" s="16" t="n"/>
      <c r="R52" s="16" t="n"/>
      <c r="S52" s="16" t="n"/>
      <c r="T52" s="16" t="n"/>
      <c r="U52" s="16" t="n"/>
      <c r="V52" s="16" t="n"/>
      <c r="W52" s="16" t="n"/>
      <c r="X52" s="16" t="n"/>
      <c r="Y52" s="16" t="n"/>
      <c r="Z52" s="16" t="n"/>
      <c r="AA52" s="16" t="n"/>
      <c r="AB52" s="18" t="n"/>
      <c r="AC52" s="15">
        <f>IF(A52="","",IF(AB52=_xlfn.MAXIFS('Register'!$AB$6:$AB$505,'Register'!$A$6:$A$505,A52),"Y","N"))</f>
        <v/>
      </c>
      <c r="AD52" s="15">
        <f>IF(A52="","",COUNTIF('Register'!$A$6:$A$505,A52))</f>
        <v/>
      </c>
      <c r="AE52" s="17" t="n"/>
      <c r="AF52" s="16" t="n"/>
      <c r="AG52" s="17" t="n"/>
      <c r="AH52" s="17" t="n"/>
      <c r="AI52" s="19">
        <f>IF(AE52="","",AE52+IF(AF52="",TA_NOC,AF52))</f>
        <v/>
      </c>
      <c r="AJ52" s="15">
        <f>IF(AE52="","",IF(AG52="",DATADATE,AG52)-AE52)</f>
        <v/>
      </c>
      <c r="AK52" s="15">
        <f>IF(OR(AI52="",AG52&lt;&gt;""),"",IF(DATADATE&gt;AI52,"OVERDUE",""))</f>
        <v/>
      </c>
      <c r="AL52" s="15">
        <f>IF(AH52="","",IF(AH52&lt;DATADATE,"EXPIRED",IF(AH52-DATADATE&lt;=WARN_EXP,"EXPIRING","")))</f>
        <v/>
      </c>
      <c r="AM52" s="16" t="n"/>
      <c r="AN52" s="16" t="n"/>
      <c r="AO52" s="16" t="n"/>
      <c r="AP52" s="16" t="n"/>
    </row>
    <row r="53">
      <c r="A53" s="15">
        <f>IF(AA53="","",PROJ&amp;"-NOC-"&amp;Z53&amp;"-"&amp;TEXT(AA53,"0000"))</f>
        <v/>
      </c>
      <c r="B53" s="15">
        <f>IF(AA53="","",PROJ)</f>
        <v/>
      </c>
      <c r="C53" s="16" t="n"/>
      <c r="D53" s="16" t="n"/>
      <c r="E53" s="16" t="n"/>
      <c r="F53" s="16" t="n"/>
      <c r="G53" s="16" t="n"/>
      <c r="H53" s="16" t="n"/>
      <c r="I53" s="16" t="n"/>
      <c r="J53" s="16" t="n"/>
      <c r="K53" s="16" t="n"/>
      <c r="L53" s="16" t="n"/>
      <c r="M53" s="16" t="n"/>
      <c r="N53" s="16" t="n"/>
      <c r="O53" s="17" t="n"/>
      <c r="P53" s="16" t="n"/>
      <c r="Q53" s="16" t="n"/>
      <c r="R53" s="16" t="n"/>
      <c r="S53" s="16" t="n"/>
      <c r="T53" s="16" t="n"/>
      <c r="U53" s="16" t="n"/>
      <c r="V53" s="16" t="n"/>
      <c r="W53" s="16" t="n"/>
      <c r="X53" s="16" t="n"/>
      <c r="Y53" s="16" t="n"/>
      <c r="Z53" s="16" t="n"/>
      <c r="AA53" s="16" t="n"/>
      <c r="AB53" s="18" t="n"/>
      <c r="AC53" s="15">
        <f>IF(A53="","",IF(AB53=_xlfn.MAXIFS('Register'!$AB$6:$AB$505,'Register'!$A$6:$A$505,A53),"Y","N"))</f>
        <v/>
      </c>
      <c r="AD53" s="15">
        <f>IF(A53="","",COUNTIF('Register'!$A$6:$A$505,A53))</f>
        <v/>
      </c>
      <c r="AE53" s="17" t="n"/>
      <c r="AF53" s="16" t="n"/>
      <c r="AG53" s="17" t="n"/>
      <c r="AH53" s="17" t="n"/>
      <c r="AI53" s="19">
        <f>IF(AE53="","",AE53+IF(AF53="",TA_NOC,AF53))</f>
        <v/>
      </c>
      <c r="AJ53" s="15">
        <f>IF(AE53="","",IF(AG53="",DATADATE,AG53)-AE53)</f>
        <v/>
      </c>
      <c r="AK53" s="15">
        <f>IF(OR(AI53="",AG53&lt;&gt;""),"",IF(DATADATE&gt;AI53,"OVERDUE",""))</f>
        <v/>
      </c>
      <c r="AL53" s="15">
        <f>IF(AH53="","",IF(AH53&lt;DATADATE,"EXPIRED",IF(AH53-DATADATE&lt;=WARN_EXP,"EXPIRING","")))</f>
        <v/>
      </c>
      <c r="AM53" s="16" t="n"/>
      <c r="AN53" s="16" t="n"/>
      <c r="AO53" s="16" t="n"/>
      <c r="AP53" s="16" t="n"/>
    </row>
    <row r="54">
      <c r="A54" s="15">
        <f>IF(AA54="","",PROJ&amp;"-NOC-"&amp;Z54&amp;"-"&amp;TEXT(AA54,"0000"))</f>
        <v/>
      </c>
      <c r="B54" s="15">
        <f>IF(AA54="","",PROJ)</f>
        <v/>
      </c>
      <c r="C54" s="16" t="n"/>
      <c r="D54" s="16" t="n"/>
      <c r="E54" s="16" t="n"/>
      <c r="F54" s="16" t="n"/>
      <c r="G54" s="16" t="n"/>
      <c r="H54" s="16" t="n"/>
      <c r="I54" s="16" t="n"/>
      <c r="J54" s="16" t="n"/>
      <c r="K54" s="16" t="n"/>
      <c r="L54" s="16" t="n"/>
      <c r="M54" s="16" t="n"/>
      <c r="N54" s="16" t="n"/>
      <c r="O54" s="17" t="n"/>
      <c r="P54" s="16" t="n"/>
      <c r="Q54" s="16" t="n"/>
      <c r="R54" s="16" t="n"/>
      <c r="S54" s="16" t="n"/>
      <c r="T54" s="16" t="n"/>
      <c r="U54" s="16" t="n"/>
      <c r="V54" s="16" t="n"/>
      <c r="W54" s="16" t="n"/>
      <c r="X54" s="16" t="n"/>
      <c r="Y54" s="16" t="n"/>
      <c r="Z54" s="16" t="n"/>
      <c r="AA54" s="16" t="n"/>
      <c r="AB54" s="18" t="n"/>
      <c r="AC54" s="15">
        <f>IF(A54="","",IF(AB54=_xlfn.MAXIFS('Register'!$AB$6:$AB$505,'Register'!$A$6:$A$505,A54),"Y","N"))</f>
        <v/>
      </c>
      <c r="AD54" s="15">
        <f>IF(A54="","",COUNTIF('Register'!$A$6:$A$505,A54))</f>
        <v/>
      </c>
      <c r="AE54" s="17" t="n"/>
      <c r="AF54" s="16" t="n"/>
      <c r="AG54" s="17" t="n"/>
      <c r="AH54" s="17" t="n"/>
      <c r="AI54" s="19">
        <f>IF(AE54="","",AE54+IF(AF54="",TA_NOC,AF54))</f>
        <v/>
      </c>
      <c r="AJ54" s="15">
        <f>IF(AE54="","",IF(AG54="",DATADATE,AG54)-AE54)</f>
        <v/>
      </c>
      <c r="AK54" s="15">
        <f>IF(OR(AI54="",AG54&lt;&gt;""),"",IF(DATADATE&gt;AI54,"OVERDUE",""))</f>
        <v/>
      </c>
      <c r="AL54" s="15">
        <f>IF(AH54="","",IF(AH54&lt;DATADATE,"EXPIRED",IF(AH54-DATADATE&lt;=WARN_EXP,"EXPIRING","")))</f>
        <v/>
      </c>
      <c r="AM54" s="16" t="n"/>
      <c r="AN54" s="16" t="n"/>
      <c r="AO54" s="16" t="n"/>
      <c r="AP54" s="16" t="n"/>
    </row>
    <row r="55">
      <c r="A55" s="15">
        <f>IF(AA55="","",PROJ&amp;"-NOC-"&amp;Z55&amp;"-"&amp;TEXT(AA55,"0000"))</f>
        <v/>
      </c>
      <c r="B55" s="15">
        <f>IF(AA55="","",PROJ)</f>
        <v/>
      </c>
      <c r="C55" s="16" t="n"/>
      <c r="D55" s="16" t="n"/>
      <c r="E55" s="16" t="n"/>
      <c r="F55" s="16" t="n"/>
      <c r="G55" s="16" t="n"/>
      <c r="H55" s="16" t="n"/>
      <c r="I55" s="16" t="n"/>
      <c r="J55" s="16" t="n"/>
      <c r="K55" s="16" t="n"/>
      <c r="L55" s="16" t="n"/>
      <c r="M55" s="16" t="n"/>
      <c r="N55" s="16" t="n"/>
      <c r="O55" s="17" t="n"/>
      <c r="P55" s="16" t="n"/>
      <c r="Q55" s="16" t="n"/>
      <c r="R55" s="16" t="n"/>
      <c r="S55" s="16" t="n"/>
      <c r="T55" s="16" t="n"/>
      <c r="U55" s="16" t="n"/>
      <c r="V55" s="16" t="n"/>
      <c r="W55" s="16" t="n"/>
      <c r="X55" s="16" t="n"/>
      <c r="Y55" s="16" t="n"/>
      <c r="Z55" s="16" t="n"/>
      <c r="AA55" s="16" t="n"/>
      <c r="AB55" s="18" t="n"/>
      <c r="AC55" s="15">
        <f>IF(A55="","",IF(AB55=_xlfn.MAXIFS('Register'!$AB$6:$AB$505,'Register'!$A$6:$A$505,A55),"Y","N"))</f>
        <v/>
      </c>
      <c r="AD55" s="15">
        <f>IF(A55="","",COUNTIF('Register'!$A$6:$A$505,A55))</f>
        <v/>
      </c>
      <c r="AE55" s="17" t="n"/>
      <c r="AF55" s="16" t="n"/>
      <c r="AG55" s="17" t="n"/>
      <c r="AH55" s="17" t="n"/>
      <c r="AI55" s="19">
        <f>IF(AE55="","",AE55+IF(AF55="",TA_NOC,AF55))</f>
        <v/>
      </c>
      <c r="AJ55" s="15">
        <f>IF(AE55="","",IF(AG55="",DATADATE,AG55)-AE55)</f>
        <v/>
      </c>
      <c r="AK55" s="15">
        <f>IF(OR(AI55="",AG55&lt;&gt;""),"",IF(DATADATE&gt;AI55,"OVERDUE",""))</f>
        <v/>
      </c>
      <c r="AL55" s="15">
        <f>IF(AH55="","",IF(AH55&lt;DATADATE,"EXPIRED",IF(AH55-DATADATE&lt;=WARN_EXP,"EXPIRING","")))</f>
        <v/>
      </c>
      <c r="AM55" s="16" t="n"/>
      <c r="AN55" s="16" t="n"/>
      <c r="AO55" s="16" t="n"/>
      <c r="AP55" s="16" t="n"/>
    </row>
    <row r="56">
      <c r="A56" s="15">
        <f>IF(AA56="","",PROJ&amp;"-NOC-"&amp;Z56&amp;"-"&amp;TEXT(AA56,"0000"))</f>
        <v/>
      </c>
      <c r="B56" s="15">
        <f>IF(AA56="","",PROJ)</f>
        <v/>
      </c>
      <c r="C56" s="16" t="n"/>
      <c r="D56" s="16" t="n"/>
      <c r="E56" s="16" t="n"/>
      <c r="F56" s="16" t="n"/>
      <c r="G56" s="16" t="n"/>
      <c r="H56" s="16" t="n"/>
      <c r="I56" s="16" t="n"/>
      <c r="J56" s="16" t="n"/>
      <c r="K56" s="16" t="n"/>
      <c r="L56" s="16" t="n"/>
      <c r="M56" s="16" t="n"/>
      <c r="N56" s="16" t="n"/>
      <c r="O56" s="17" t="n"/>
      <c r="P56" s="16" t="n"/>
      <c r="Q56" s="16" t="n"/>
      <c r="R56" s="16" t="n"/>
      <c r="S56" s="16" t="n"/>
      <c r="T56" s="16" t="n"/>
      <c r="U56" s="16" t="n"/>
      <c r="V56" s="16" t="n"/>
      <c r="W56" s="16" t="n"/>
      <c r="X56" s="16" t="n"/>
      <c r="Y56" s="16" t="n"/>
      <c r="Z56" s="16" t="n"/>
      <c r="AA56" s="16" t="n"/>
      <c r="AB56" s="18" t="n"/>
      <c r="AC56" s="15">
        <f>IF(A56="","",IF(AB56=_xlfn.MAXIFS('Register'!$AB$6:$AB$505,'Register'!$A$6:$A$505,A56),"Y","N"))</f>
        <v/>
      </c>
      <c r="AD56" s="15">
        <f>IF(A56="","",COUNTIF('Register'!$A$6:$A$505,A56))</f>
        <v/>
      </c>
      <c r="AE56" s="17" t="n"/>
      <c r="AF56" s="16" t="n"/>
      <c r="AG56" s="17" t="n"/>
      <c r="AH56" s="17" t="n"/>
      <c r="AI56" s="19">
        <f>IF(AE56="","",AE56+IF(AF56="",TA_NOC,AF56))</f>
        <v/>
      </c>
      <c r="AJ56" s="15">
        <f>IF(AE56="","",IF(AG56="",DATADATE,AG56)-AE56)</f>
        <v/>
      </c>
      <c r="AK56" s="15">
        <f>IF(OR(AI56="",AG56&lt;&gt;""),"",IF(DATADATE&gt;AI56,"OVERDUE",""))</f>
        <v/>
      </c>
      <c r="AL56" s="15">
        <f>IF(AH56="","",IF(AH56&lt;DATADATE,"EXPIRED",IF(AH56-DATADATE&lt;=WARN_EXP,"EXPIRING","")))</f>
        <v/>
      </c>
      <c r="AM56" s="16" t="n"/>
      <c r="AN56" s="16" t="n"/>
      <c r="AO56" s="16" t="n"/>
      <c r="AP56" s="16" t="n"/>
    </row>
    <row r="57">
      <c r="A57" s="15">
        <f>IF(AA57="","",PROJ&amp;"-NOC-"&amp;Z57&amp;"-"&amp;TEXT(AA57,"0000"))</f>
        <v/>
      </c>
      <c r="B57" s="15">
        <f>IF(AA57="","",PROJ)</f>
        <v/>
      </c>
      <c r="C57" s="16" t="n"/>
      <c r="D57" s="16" t="n"/>
      <c r="E57" s="16" t="n"/>
      <c r="F57" s="16" t="n"/>
      <c r="G57" s="16" t="n"/>
      <c r="H57" s="16" t="n"/>
      <c r="I57" s="16" t="n"/>
      <c r="J57" s="16" t="n"/>
      <c r="K57" s="16" t="n"/>
      <c r="L57" s="16" t="n"/>
      <c r="M57" s="16" t="n"/>
      <c r="N57" s="16" t="n"/>
      <c r="O57" s="17" t="n"/>
      <c r="P57" s="16" t="n"/>
      <c r="Q57" s="16" t="n"/>
      <c r="R57" s="16" t="n"/>
      <c r="S57" s="16" t="n"/>
      <c r="T57" s="16" t="n"/>
      <c r="U57" s="16" t="n"/>
      <c r="V57" s="16" t="n"/>
      <c r="W57" s="16" t="n"/>
      <c r="X57" s="16" t="n"/>
      <c r="Y57" s="16" t="n"/>
      <c r="Z57" s="16" t="n"/>
      <c r="AA57" s="16" t="n"/>
      <c r="AB57" s="18" t="n"/>
      <c r="AC57" s="15">
        <f>IF(A57="","",IF(AB57=_xlfn.MAXIFS('Register'!$AB$6:$AB$505,'Register'!$A$6:$A$505,A57),"Y","N"))</f>
        <v/>
      </c>
      <c r="AD57" s="15">
        <f>IF(A57="","",COUNTIF('Register'!$A$6:$A$505,A57))</f>
        <v/>
      </c>
      <c r="AE57" s="17" t="n"/>
      <c r="AF57" s="16" t="n"/>
      <c r="AG57" s="17" t="n"/>
      <c r="AH57" s="17" t="n"/>
      <c r="AI57" s="19">
        <f>IF(AE57="","",AE57+IF(AF57="",TA_NOC,AF57))</f>
        <v/>
      </c>
      <c r="AJ57" s="15">
        <f>IF(AE57="","",IF(AG57="",DATADATE,AG57)-AE57)</f>
        <v/>
      </c>
      <c r="AK57" s="15">
        <f>IF(OR(AI57="",AG57&lt;&gt;""),"",IF(DATADATE&gt;AI57,"OVERDUE",""))</f>
        <v/>
      </c>
      <c r="AL57" s="15">
        <f>IF(AH57="","",IF(AH57&lt;DATADATE,"EXPIRED",IF(AH57-DATADATE&lt;=WARN_EXP,"EXPIRING","")))</f>
        <v/>
      </c>
      <c r="AM57" s="16" t="n"/>
      <c r="AN57" s="16" t="n"/>
      <c r="AO57" s="16" t="n"/>
      <c r="AP57" s="16" t="n"/>
    </row>
    <row r="58">
      <c r="A58" s="15">
        <f>IF(AA58="","",PROJ&amp;"-NOC-"&amp;Z58&amp;"-"&amp;TEXT(AA58,"0000"))</f>
        <v/>
      </c>
      <c r="B58" s="15">
        <f>IF(AA58="","",PROJ)</f>
        <v/>
      </c>
      <c r="C58" s="16" t="n"/>
      <c r="D58" s="16" t="n"/>
      <c r="E58" s="16" t="n"/>
      <c r="F58" s="16" t="n"/>
      <c r="G58" s="16" t="n"/>
      <c r="H58" s="16" t="n"/>
      <c r="I58" s="16" t="n"/>
      <c r="J58" s="16" t="n"/>
      <c r="K58" s="16" t="n"/>
      <c r="L58" s="16" t="n"/>
      <c r="M58" s="16" t="n"/>
      <c r="N58" s="16" t="n"/>
      <c r="O58" s="17" t="n"/>
      <c r="P58" s="16" t="n"/>
      <c r="Q58" s="16" t="n"/>
      <c r="R58" s="16" t="n"/>
      <c r="S58" s="16" t="n"/>
      <c r="T58" s="16" t="n"/>
      <c r="U58" s="16" t="n"/>
      <c r="V58" s="16" t="n"/>
      <c r="W58" s="16" t="n"/>
      <c r="X58" s="16" t="n"/>
      <c r="Y58" s="16" t="n"/>
      <c r="Z58" s="16" t="n"/>
      <c r="AA58" s="16" t="n"/>
      <c r="AB58" s="18" t="n"/>
      <c r="AC58" s="15">
        <f>IF(A58="","",IF(AB58=_xlfn.MAXIFS('Register'!$AB$6:$AB$505,'Register'!$A$6:$A$505,A58),"Y","N"))</f>
        <v/>
      </c>
      <c r="AD58" s="15">
        <f>IF(A58="","",COUNTIF('Register'!$A$6:$A$505,A58))</f>
        <v/>
      </c>
      <c r="AE58" s="17" t="n"/>
      <c r="AF58" s="16" t="n"/>
      <c r="AG58" s="17" t="n"/>
      <c r="AH58" s="17" t="n"/>
      <c r="AI58" s="19">
        <f>IF(AE58="","",AE58+IF(AF58="",TA_NOC,AF58))</f>
        <v/>
      </c>
      <c r="AJ58" s="15">
        <f>IF(AE58="","",IF(AG58="",DATADATE,AG58)-AE58)</f>
        <v/>
      </c>
      <c r="AK58" s="15">
        <f>IF(OR(AI58="",AG58&lt;&gt;""),"",IF(DATADATE&gt;AI58,"OVERDUE",""))</f>
        <v/>
      </c>
      <c r="AL58" s="15">
        <f>IF(AH58="","",IF(AH58&lt;DATADATE,"EXPIRED",IF(AH58-DATADATE&lt;=WARN_EXP,"EXPIRING","")))</f>
        <v/>
      </c>
      <c r="AM58" s="16" t="n"/>
      <c r="AN58" s="16" t="n"/>
      <c r="AO58" s="16" t="n"/>
      <c r="AP58" s="16" t="n"/>
    </row>
    <row r="59">
      <c r="A59" s="15">
        <f>IF(AA59="","",PROJ&amp;"-NOC-"&amp;Z59&amp;"-"&amp;TEXT(AA59,"0000"))</f>
        <v/>
      </c>
      <c r="B59" s="15">
        <f>IF(AA59="","",PROJ)</f>
        <v/>
      </c>
      <c r="C59" s="16" t="n"/>
      <c r="D59" s="16" t="n"/>
      <c r="E59" s="16" t="n"/>
      <c r="F59" s="16" t="n"/>
      <c r="G59" s="16" t="n"/>
      <c r="H59" s="16" t="n"/>
      <c r="I59" s="16" t="n"/>
      <c r="J59" s="16" t="n"/>
      <c r="K59" s="16" t="n"/>
      <c r="L59" s="16" t="n"/>
      <c r="M59" s="16" t="n"/>
      <c r="N59" s="16" t="n"/>
      <c r="O59" s="17" t="n"/>
      <c r="P59" s="16" t="n"/>
      <c r="Q59" s="16" t="n"/>
      <c r="R59" s="16" t="n"/>
      <c r="S59" s="16" t="n"/>
      <c r="T59" s="16" t="n"/>
      <c r="U59" s="16" t="n"/>
      <c r="V59" s="16" t="n"/>
      <c r="W59" s="16" t="n"/>
      <c r="X59" s="16" t="n"/>
      <c r="Y59" s="16" t="n"/>
      <c r="Z59" s="16" t="n"/>
      <c r="AA59" s="16" t="n"/>
      <c r="AB59" s="18" t="n"/>
      <c r="AC59" s="15">
        <f>IF(A59="","",IF(AB59=_xlfn.MAXIFS('Register'!$AB$6:$AB$505,'Register'!$A$6:$A$505,A59),"Y","N"))</f>
        <v/>
      </c>
      <c r="AD59" s="15">
        <f>IF(A59="","",COUNTIF('Register'!$A$6:$A$505,A59))</f>
        <v/>
      </c>
      <c r="AE59" s="17" t="n"/>
      <c r="AF59" s="16" t="n"/>
      <c r="AG59" s="17" t="n"/>
      <c r="AH59" s="17" t="n"/>
      <c r="AI59" s="19">
        <f>IF(AE59="","",AE59+IF(AF59="",TA_NOC,AF59))</f>
        <v/>
      </c>
      <c r="AJ59" s="15">
        <f>IF(AE59="","",IF(AG59="",DATADATE,AG59)-AE59)</f>
        <v/>
      </c>
      <c r="AK59" s="15">
        <f>IF(OR(AI59="",AG59&lt;&gt;""),"",IF(DATADATE&gt;AI59,"OVERDUE",""))</f>
        <v/>
      </c>
      <c r="AL59" s="15">
        <f>IF(AH59="","",IF(AH59&lt;DATADATE,"EXPIRED",IF(AH59-DATADATE&lt;=WARN_EXP,"EXPIRING","")))</f>
        <v/>
      </c>
      <c r="AM59" s="16" t="n"/>
      <c r="AN59" s="16" t="n"/>
      <c r="AO59" s="16" t="n"/>
      <c r="AP59" s="16" t="n"/>
    </row>
    <row r="60">
      <c r="A60" s="15">
        <f>IF(AA60="","",PROJ&amp;"-NOC-"&amp;Z60&amp;"-"&amp;TEXT(AA60,"0000"))</f>
        <v/>
      </c>
      <c r="B60" s="15">
        <f>IF(AA60="","",PROJ)</f>
        <v/>
      </c>
      <c r="C60" s="16" t="n"/>
      <c r="D60" s="16" t="n"/>
      <c r="E60" s="16" t="n"/>
      <c r="F60" s="16" t="n"/>
      <c r="G60" s="16" t="n"/>
      <c r="H60" s="16" t="n"/>
      <c r="I60" s="16" t="n"/>
      <c r="J60" s="16" t="n"/>
      <c r="K60" s="16" t="n"/>
      <c r="L60" s="16" t="n"/>
      <c r="M60" s="16" t="n"/>
      <c r="N60" s="16" t="n"/>
      <c r="O60" s="17" t="n"/>
      <c r="P60" s="16" t="n"/>
      <c r="Q60" s="16" t="n"/>
      <c r="R60" s="16" t="n"/>
      <c r="S60" s="16" t="n"/>
      <c r="T60" s="16" t="n"/>
      <c r="U60" s="16" t="n"/>
      <c r="V60" s="16" t="n"/>
      <c r="W60" s="16" t="n"/>
      <c r="X60" s="16" t="n"/>
      <c r="Y60" s="16" t="n"/>
      <c r="Z60" s="16" t="n"/>
      <c r="AA60" s="16" t="n"/>
      <c r="AB60" s="18" t="n"/>
      <c r="AC60" s="15">
        <f>IF(A60="","",IF(AB60=_xlfn.MAXIFS('Register'!$AB$6:$AB$505,'Register'!$A$6:$A$505,A60),"Y","N"))</f>
        <v/>
      </c>
      <c r="AD60" s="15">
        <f>IF(A60="","",COUNTIF('Register'!$A$6:$A$505,A60))</f>
        <v/>
      </c>
      <c r="AE60" s="17" t="n"/>
      <c r="AF60" s="16" t="n"/>
      <c r="AG60" s="17" t="n"/>
      <c r="AH60" s="17" t="n"/>
      <c r="AI60" s="19">
        <f>IF(AE60="","",AE60+IF(AF60="",TA_NOC,AF60))</f>
        <v/>
      </c>
      <c r="AJ60" s="15">
        <f>IF(AE60="","",IF(AG60="",DATADATE,AG60)-AE60)</f>
        <v/>
      </c>
      <c r="AK60" s="15">
        <f>IF(OR(AI60="",AG60&lt;&gt;""),"",IF(DATADATE&gt;AI60,"OVERDUE",""))</f>
        <v/>
      </c>
      <c r="AL60" s="15">
        <f>IF(AH60="","",IF(AH60&lt;DATADATE,"EXPIRED",IF(AH60-DATADATE&lt;=WARN_EXP,"EXPIRING","")))</f>
        <v/>
      </c>
      <c r="AM60" s="16" t="n"/>
      <c r="AN60" s="16" t="n"/>
      <c r="AO60" s="16" t="n"/>
      <c r="AP60" s="16" t="n"/>
    </row>
    <row r="61">
      <c r="A61" s="15">
        <f>IF(AA61="","",PROJ&amp;"-NOC-"&amp;Z61&amp;"-"&amp;TEXT(AA61,"0000"))</f>
        <v/>
      </c>
      <c r="B61" s="15">
        <f>IF(AA61="","",PROJ)</f>
        <v/>
      </c>
      <c r="C61" s="16" t="n"/>
      <c r="D61" s="16" t="n"/>
      <c r="E61" s="16" t="n"/>
      <c r="F61" s="16" t="n"/>
      <c r="G61" s="16" t="n"/>
      <c r="H61" s="16" t="n"/>
      <c r="I61" s="16" t="n"/>
      <c r="J61" s="16" t="n"/>
      <c r="K61" s="16" t="n"/>
      <c r="L61" s="16" t="n"/>
      <c r="M61" s="16" t="n"/>
      <c r="N61" s="16" t="n"/>
      <c r="O61" s="17" t="n"/>
      <c r="P61" s="16" t="n"/>
      <c r="Q61" s="16" t="n"/>
      <c r="R61" s="16" t="n"/>
      <c r="S61" s="16" t="n"/>
      <c r="T61" s="16" t="n"/>
      <c r="U61" s="16" t="n"/>
      <c r="V61" s="16" t="n"/>
      <c r="W61" s="16" t="n"/>
      <c r="X61" s="16" t="n"/>
      <c r="Y61" s="16" t="n"/>
      <c r="Z61" s="16" t="n"/>
      <c r="AA61" s="16" t="n"/>
      <c r="AB61" s="18" t="n"/>
      <c r="AC61" s="15">
        <f>IF(A61="","",IF(AB61=_xlfn.MAXIFS('Register'!$AB$6:$AB$505,'Register'!$A$6:$A$505,A61),"Y","N"))</f>
        <v/>
      </c>
      <c r="AD61" s="15">
        <f>IF(A61="","",COUNTIF('Register'!$A$6:$A$505,A61))</f>
        <v/>
      </c>
      <c r="AE61" s="17" t="n"/>
      <c r="AF61" s="16" t="n"/>
      <c r="AG61" s="17" t="n"/>
      <c r="AH61" s="17" t="n"/>
      <c r="AI61" s="19">
        <f>IF(AE61="","",AE61+IF(AF61="",TA_NOC,AF61))</f>
        <v/>
      </c>
      <c r="AJ61" s="15">
        <f>IF(AE61="","",IF(AG61="",DATADATE,AG61)-AE61)</f>
        <v/>
      </c>
      <c r="AK61" s="15">
        <f>IF(OR(AI61="",AG61&lt;&gt;""),"",IF(DATADATE&gt;AI61,"OVERDUE",""))</f>
        <v/>
      </c>
      <c r="AL61" s="15">
        <f>IF(AH61="","",IF(AH61&lt;DATADATE,"EXPIRED",IF(AH61-DATADATE&lt;=WARN_EXP,"EXPIRING","")))</f>
        <v/>
      </c>
      <c r="AM61" s="16" t="n"/>
      <c r="AN61" s="16" t="n"/>
      <c r="AO61" s="16" t="n"/>
      <c r="AP61" s="16" t="n"/>
    </row>
    <row r="62">
      <c r="A62" s="15">
        <f>IF(AA62="","",PROJ&amp;"-NOC-"&amp;Z62&amp;"-"&amp;TEXT(AA62,"0000"))</f>
        <v/>
      </c>
      <c r="B62" s="15">
        <f>IF(AA62="","",PROJ)</f>
        <v/>
      </c>
      <c r="C62" s="16" t="n"/>
      <c r="D62" s="16" t="n"/>
      <c r="E62" s="16" t="n"/>
      <c r="F62" s="16" t="n"/>
      <c r="G62" s="16" t="n"/>
      <c r="H62" s="16" t="n"/>
      <c r="I62" s="16" t="n"/>
      <c r="J62" s="16" t="n"/>
      <c r="K62" s="16" t="n"/>
      <c r="L62" s="16" t="n"/>
      <c r="M62" s="16" t="n"/>
      <c r="N62" s="16" t="n"/>
      <c r="O62" s="17" t="n"/>
      <c r="P62" s="16" t="n"/>
      <c r="Q62" s="16" t="n"/>
      <c r="R62" s="16" t="n"/>
      <c r="S62" s="16" t="n"/>
      <c r="T62" s="16" t="n"/>
      <c r="U62" s="16" t="n"/>
      <c r="V62" s="16" t="n"/>
      <c r="W62" s="16" t="n"/>
      <c r="X62" s="16" t="n"/>
      <c r="Y62" s="16" t="n"/>
      <c r="Z62" s="16" t="n"/>
      <c r="AA62" s="16" t="n"/>
      <c r="AB62" s="18" t="n"/>
      <c r="AC62" s="15">
        <f>IF(A62="","",IF(AB62=_xlfn.MAXIFS('Register'!$AB$6:$AB$505,'Register'!$A$6:$A$505,A62),"Y","N"))</f>
        <v/>
      </c>
      <c r="AD62" s="15">
        <f>IF(A62="","",COUNTIF('Register'!$A$6:$A$505,A62))</f>
        <v/>
      </c>
      <c r="AE62" s="17" t="n"/>
      <c r="AF62" s="16" t="n"/>
      <c r="AG62" s="17" t="n"/>
      <c r="AH62" s="17" t="n"/>
      <c r="AI62" s="19">
        <f>IF(AE62="","",AE62+IF(AF62="",TA_NOC,AF62))</f>
        <v/>
      </c>
      <c r="AJ62" s="15">
        <f>IF(AE62="","",IF(AG62="",DATADATE,AG62)-AE62)</f>
        <v/>
      </c>
      <c r="AK62" s="15">
        <f>IF(OR(AI62="",AG62&lt;&gt;""),"",IF(DATADATE&gt;AI62,"OVERDUE",""))</f>
        <v/>
      </c>
      <c r="AL62" s="15">
        <f>IF(AH62="","",IF(AH62&lt;DATADATE,"EXPIRED",IF(AH62-DATADATE&lt;=WARN_EXP,"EXPIRING","")))</f>
        <v/>
      </c>
      <c r="AM62" s="16" t="n"/>
      <c r="AN62" s="16" t="n"/>
      <c r="AO62" s="16" t="n"/>
      <c r="AP62" s="16" t="n"/>
    </row>
    <row r="63">
      <c r="A63" s="15">
        <f>IF(AA63="","",PROJ&amp;"-NOC-"&amp;Z63&amp;"-"&amp;TEXT(AA63,"0000"))</f>
        <v/>
      </c>
      <c r="B63" s="15">
        <f>IF(AA63="","",PROJ)</f>
        <v/>
      </c>
      <c r="C63" s="16" t="n"/>
      <c r="D63" s="16" t="n"/>
      <c r="E63" s="16" t="n"/>
      <c r="F63" s="16" t="n"/>
      <c r="G63" s="16" t="n"/>
      <c r="H63" s="16" t="n"/>
      <c r="I63" s="16" t="n"/>
      <c r="J63" s="16" t="n"/>
      <c r="K63" s="16" t="n"/>
      <c r="L63" s="16" t="n"/>
      <c r="M63" s="16" t="n"/>
      <c r="N63" s="16" t="n"/>
      <c r="O63" s="17" t="n"/>
      <c r="P63" s="16" t="n"/>
      <c r="Q63" s="16" t="n"/>
      <c r="R63" s="16" t="n"/>
      <c r="S63" s="16" t="n"/>
      <c r="T63" s="16" t="n"/>
      <c r="U63" s="16" t="n"/>
      <c r="V63" s="16" t="n"/>
      <c r="W63" s="16" t="n"/>
      <c r="X63" s="16" t="n"/>
      <c r="Y63" s="16" t="n"/>
      <c r="Z63" s="16" t="n"/>
      <c r="AA63" s="16" t="n"/>
      <c r="AB63" s="18" t="n"/>
      <c r="AC63" s="15">
        <f>IF(A63="","",IF(AB63=_xlfn.MAXIFS('Register'!$AB$6:$AB$505,'Register'!$A$6:$A$505,A63),"Y","N"))</f>
        <v/>
      </c>
      <c r="AD63" s="15">
        <f>IF(A63="","",COUNTIF('Register'!$A$6:$A$505,A63))</f>
        <v/>
      </c>
      <c r="AE63" s="17" t="n"/>
      <c r="AF63" s="16" t="n"/>
      <c r="AG63" s="17" t="n"/>
      <c r="AH63" s="17" t="n"/>
      <c r="AI63" s="19">
        <f>IF(AE63="","",AE63+IF(AF63="",TA_NOC,AF63))</f>
        <v/>
      </c>
      <c r="AJ63" s="15">
        <f>IF(AE63="","",IF(AG63="",DATADATE,AG63)-AE63)</f>
        <v/>
      </c>
      <c r="AK63" s="15">
        <f>IF(OR(AI63="",AG63&lt;&gt;""),"",IF(DATADATE&gt;AI63,"OVERDUE",""))</f>
        <v/>
      </c>
      <c r="AL63" s="15">
        <f>IF(AH63="","",IF(AH63&lt;DATADATE,"EXPIRED",IF(AH63-DATADATE&lt;=WARN_EXP,"EXPIRING","")))</f>
        <v/>
      </c>
      <c r="AM63" s="16" t="n"/>
      <c r="AN63" s="16" t="n"/>
      <c r="AO63" s="16" t="n"/>
      <c r="AP63" s="16" t="n"/>
    </row>
    <row r="64">
      <c r="A64" s="15">
        <f>IF(AA64="","",PROJ&amp;"-NOC-"&amp;Z64&amp;"-"&amp;TEXT(AA64,"0000"))</f>
        <v/>
      </c>
      <c r="B64" s="15">
        <f>IF(AA64="","",PROJ)</f>
        <v/>
      </c>
      <c r="C64" s="16" t="n"/>
      <c r="D64" s="16" t="n"/>
      <c r="E64" s="16" t="n"/>
      <c r="F64" s="16" t="n"/>
      <c r="G64" s="16" t="n"/>
      <c r="H64" s="16" t="n"/>
      <c r="I64" s="16" t="n"/>
      <c r="J64" s="16" t="n"/>
      <c r="K64" s="16" t="n"/>
      <c r="L64" s="16" t="n"/>
      <c r="M64" s="16" t="n"/>
      <c r="N64" s="16" t="n"/>
      <c r="O64" s="17" t="n"/>
      <c r="P64" s="16" t="n"/>
      <c r="Q64" s="16" t="n"/>
      <c r="R64" s="16" t="n"/>
      <c r="S64" s="16" t="n"/>
      <c r="T64" s="16" t="n"/>
      <c r="U64" s="16" t="n"/>
      <c r="V64" s="16" t="n"/>
      <c r="W64" s="16" t="n"/>
      <c r="X64" s="16" t="n"/>
      <c r="Y64" s="16" t="n"/>
      <c r="Z64" s="16" t="n"/>
      <c r="AA64" s="16" t="n"/>
      <c r="AB64" s="18" t="n"/>
      <c r="AC64" s="15">
        <f>IF(A64="","",IF(AB64=_xlfn.MAXIFS('Register'!$AB$6:$AB$505,'Register'!$A$6:$A$505,A64),"Y","N"))</f>
        <v/>
      </c>
      <c r="AD64" s="15">
        <f>IF(A64="","",COUNTIF('Register'!$A$6:$A$505,A64))</f>
        <v/>
      </c>
      <c r="AE64" s="17" t="n"/>
      <c r="AF64" s="16" t="n"/>
      <c r="AG64" s="17" t="n"/>
      <c r="AH64" s="17" t="n"/>
      <c r="AI64" s="19">
        <f>IF(AE64="","",AE64+IF(AF64="",TA_NOC,AF64))</f>
        <v/>
      </c>
      <c r="AJ64" s="15">
        <f>IF(AE64="","",IF(AG64="",DATADATE,AG64)-AE64)</f>
        <v/>
      </c>
      <c r="AK64" s="15">
        <f>IF(OR(AI64="",AG64&lt;&gt;""),"",IF(DATADATE&gt;AI64,"OVERDUE",""))</f>
        <v/>
      </c>
      <c r="AL64" s="15">
        <f>IF(AH64="","",IF(AH64&lt;DATADATE,"EXPIRED",IF(AH64-DATADATE&lt;=WARN_EXP,"EXPIRING","")))</f>
        <v/>
      </c>
      <c r="AM64" s="16" t="n"/>
      <c r="AN64" s="16" t="n"/>
      <c r="AO64" s="16" t="n"/>
      <c r="AP64" s="16" t="n"/>
    </row>
    <row r="65">
      <c r="A65" s="15">
        <f>IF(AA65="","",PROJ&amp;"-NOC-"&amp;Z65&amp;"-"&amp;TEXT(AA65,"0000"))</f>
        <v/>
      </c>
      <c r="B65" s="15">
        <f>IF(AA65="","",PROJ)</f>
        <v/>
      </c>
      <c r="C65" s="16" t="n"/>
      <c r="D65" s="16" t="n"/>
      <c r="E65" s="16" t="n"/>
      <c r="F65" s="16" t="n"/>
      <c r="G65" s="16" t="n"/>
      <c r="H65" s="16" t="n"/>
      <c r="I65" s="16" t="n"/>
      <c r="J65" s="16" t="n"/>
      <c r="K65" s="16" t="n"/>
      <c r="L65" s="16" t="n"/>
      <c r="M65" s="16" t="n"/>
      <c r="N65" s="16" t="n"/>
      <c r="O65" s="17" t="n"/>
      <c r="P65" s="16" t="n"/>
      <c r="Q65" s="16" t="n"/>
      <c r="R65" s="16" t="n"/>
      <c r="S65" s="16" t="n"/>
      <c r="T65" s="16" t="n"/>
      <c r="U65" s="16" t="n"/>
      <c r="V65" s="16" t="n"/>
      <c r="W65" s="16" t="n"/>
      <c r="X65" s="16" t="n"/>
      <c r="Y65" s="16" t="n"/>
      <c r="Z65" s="16" t="n"/>
      <c r="AA65" s="16" t="n"/>
      <c r="AB65" s="18" t="n"/>
      <c r="AC65" s="15">
        <f>IF(A65="","",IF(AB65=_xlfn.MAXIFS('Register'!$AB$6:$AB$505,'Register'!$A$6:$A$505,A65),"Y","N"))</f>
        <v/>
      </c>
      <c r="AD65" s="15">
        <f>IF(A65="","",COUNTIF('Register'!$A$6:$A$505,A65))</f>
        <v/>
      </c>
      <c r="AE65" s="17" t="n"/>
      <c r="AF65" s="16" t="n"/>
      <c r="AG65" s="17" t="n"/>
      <c r="AH65" s="17" t="n"/>
      <c r="AI65" s="19">
        <f>IF(AE65="","",AE65+IF(AF65="",TA_NOC,AF65))</f>
        <v/>
      </c>
      <c r="AJ65" s="15">
        <f>IF(AE65="","",IF(AG65="",DATADATE,AG65)-AE65)</f>
        <v/>
      </c>
      <c r="AK65" s="15">
        <f>IF(OR(AI65="",AG65&lt;&gt;""),"",IF(DATADATE&gt;AI65,"OVERDUE",""))</f>
        <v/>
      </c>
      <c r="AL65" s="15">
        <f>IF(AH65="","",IF(AH65&lt;DATADATE,"EXPIRED",IF(AH65-DATADATE&lt;=WARN_EXP,"EXPIRING","")))</f>
        <v/>
      </c>
      <c r="AM65" s="16" t="n"/>
      <c r="AN65" s="16" t="n"/>
      <c r="AO65" s="16" t="n"/>
      <c r="AP65" s="16" t="n"/>
    </row>
    <row r="66">
      <c r="A66" s="15">
        <f>IF(AA66="","",PROJ&amp;"-NOC-"&amp;Z66&amp;"-"&amp;TEXT(AA66,"0000"))</f>
        <v/>
      </c>
      <c r="B66" s="15">
        <f>IF(AA66="","",PROJ)</f>
        <v/>
      </c>
      <c r="C66" s="16" t="n"/>
      <c r="D66" s="16" t="n"/>
      <c r="E66" s="16" t="n"/>
      <c r="F66" s="16" t="n"/>
      <c r="G66" s="16" t="n"/>
      <c r="H66" s="16" t="n"/>
      <c r="I66" s="16" t="n"/>
      <c r="J66" s="16" t="n"/>
      <c r="K66" s="16" t="n"/>
      <c r="L66" s="16" t="n"/>
      <c r="M66" s="16" t="n"/>
      <c r="N66" s="16" t="n"/>
      <c r="O66" s="17" t="n"/>
      <c r="P66" s="16" t="n"/>
      <c r="Q66" s="16" t="n"/>
      <c r="R66" s="16" t="n"/>
      <c r="S66" s="16" t="n"/>
      <c r="T66" s="16" t="n"/>
      <c r="U66" s="16" t="n"/>
      <c r="V66" s="16" t="n"/>
      <c r="W66" s="16" t="n"/>
      <c r="X66" s="16" t="n"/>
      <c r="Y66" s="16" t="n"/>
      <c r="Z66" s="16" t="n"/>
      <c r="AA66" s="16" t="n"/>
      <c r="AB66" s="18" t="n"/>
      <c r="AC66" s="15">
        <f>IF(A66="","",IF(AB66=_xlfn.MAXIFS('Register'!$AB$6:$AB$505,'Register'!$A$6:$A$505,A66),"Y","N"))</f>
        <v/>
      </c>
      <c r="AD66" s="15">
        <f>IF(A66="","",COUNTIF('Register'!$A$6:$A$505,A66))</f>
        <v/>
      </c>
      <c r="AE66" s="17" t="n"/>
      <c r="AF66" s="16" t="n"/>
      <c r="AG66" s="17" t="n"/>
      <c r="AH66" s="17" t="n"/>
      <c r="AI66" s="19">
        <f>IF(AE66="","",AE66+IF(AF66="",TA_NOC,AF66))</f>
        <v/>
      </c>
      <c r="AJ66" s="15">
        <f>IF(AE66="","",IF(AG66="",DATADATE,AG66)-AE66)</f>
        <v/>
      </c>
      <c r="AK66" s="15">
        <f>IF(OR(AI66="",AG66&lt;&gt;""),"",IF(DATADATE&gt;AI66,"OVERDUE",""))</f>
        <v/>
      </c>
      <c r="AL66" s="15">
        <f>IF(AH66="","",IF(AH66&lt;DATADATE,"EXPIRED",IF(AH66-DATADATE&lt;=WARN_EXP,"EXPIRING","")))</f>
        <v/>
      </c>
      <c r="AM66" s="16" t="n"/>
      <c r="AN66" s="16" t="n"/>
      <c r="AO66" s="16" t="n"/>
      <c r="AP66" s="16" t="n"/>
    </row>
    <row r="67">
      <c r="A67" s="15">
        <f>IF(AA67="","",PROJ&amp;"-NOC-"&amp;Z67&amp;"-"&amp;TEXT(AA67,"0000"))</f>
        <v/>
      </c>
      <c r="B67" s="15">
        <f>IF(AA67="","",PROJ)</f>
        <v/>
      </c>
      <c r="C67" s="16" t="n"/>
      <c r="D67" s="16" t="n"/>
      <c r="E67" s="16" t="n"/>
      <c r="F67" s="16" t="n"/>
      <c r="G67" s="16" t="n"/>
      <c r="H67" s="16" t="n"/>
      <c r="I67" s="16" t="n"/>
      <c r="J67" s="16" t="n"/>
      <c r="K67" s="16" t="n"/>
      <c r="L67" s="16" t="n"/>
      <c r="M67" s="16" t="n"/>
      <c r="N67" s="16" t="n"/>
      <c r="O67" s="17" t="n"/>
      <c r="P67" s="16" t="n"/>
      <c r="Q67" s="16" t="n"/>
      <c r="R67" s="16" t="n"/>
      <c r="S67" s="16" t="n"/>
      <c r="T67" s="16" t="n"/>
      <c r="U67" s="16" t="n"/>
      <c r="V67" s="16" t="n"/>
      <c r="W67" s="16" t="n"/>
      <c r="X67" s="16" t="n"/>
      <c r="Y67" s="16" t="n"/>
      <c r="Z67" s="16" t="n"/>
      <c r="AA67" s="16" t="n"/>
      <c r="AB67" s="18" t="n"/>
      <c r="AC67" s="15">
        <f>IF(A67="","",IF(AB67=_xlfn.MAXIFS('Register'!$AB$6:$AB$505,'Register'!$A$6:$A$505,A67),"Y","N"))</f>
        <v/>
      </c>
      <c r="AD67" s="15">
        <f>IF(A67="","",COUNTIF('Register'!$A$6:$A$505,A67))</f>
        <v/>
      </c>
      <c r="AE67" s="17" t="n"/>
      <c r="AF67" s="16" t="n"/>
      <c r="AG67" s="17" t="n"/>
      <c r="AH67" s="17" t="n"/>
      <c r="AI67" s="19">
        <f>IF(AE67="","",AE67+IF(AF67="",TA_NOC,AF67))</f>
        <v/>
      </c>
      <c r="AJ67" s="15">
        <f>IF(AE67="","",IF(AG67="",DATADATE,AG67)-AE67)</f>
        <v/>
      </c>
      <c r="AK67" s="15">
        <f>IF(OR(AI67="",AG67&lt;&gt;""),"",IF(DATADATE&gt;AI67,"OVERDUE",""))</f>
        <v/>
      </c>
      <c r="AL67" s="15">
        <f>IF(AH67="","",IF(AH67&lt;DATADATE,"EXPIRED",IF(AH67-DATADATE&lt;=WARN_EXP,"EXPIRING","")))</f>
        <v/>
      </c>
      <c r="AM67" s="16" t="n"/>
      <c r="AN67" s="16" t="n"/>
      <c r="AO67" s="16" t="n"/>
      <c r="AP67" s="16" t="n"/>
    </row>
    <row r="68">
      <c r="A68" s="15">
        <f>IF(AA68="","",PROJ&amp;"-NOC-"&amp;Z68&amp;"-"&amp;TEXT(AA68,"0000"))</f>
        <v/>
      </c>
      <c r="B68" s="15">
        <f>IF(AA68="","",PROJ)</f>
        <v/>
      </c>
      <c r="C68" s="16" t="n"/>
      <c r="D68" s="16" t="n"/>
      <c r="E68" s="16" t="n"/>
      <c r="F68" s="16" t="n"/>
      <c r="G68" s="16" t="n"/>
      <c r="H68" s="16" t="n"/>
      <c r="I68" s="16" t="n"/>
      <c r="J68" s="16" t="n"/>
      <c r="K68" s="16" t="n"/>
      <c r="L68" s="16" t="n"/>
      <c r="M68" s="16" t="n"/>
      <c r="N68" s="16" t="n"/>
      <c r="O68" s="17" t="n"/>
      <c r="P68" s="16" t="n"/>
      <c r="Q68" s="16" t="n"/>
      <c r="R68" s="16" t="n"/>
      <c r="S68" s="16" t="n"/>
      <c r="T68" s="16" t="n"/>
      <c r="U68" s="16" t="n"/>
      <c r="V68" s="16" t="n"/>
      <c r="W68" s="16" t="n"/>
      <c r="X68" s="16" t="n"/>
      <c r="Y68" s="16" t="n"/>
      <c r="Z68" s="16" t="n"/>
      <c r="AA68" s="16" t="n"/>
      <c r="AB68" s="18" t="n"/>
      <c r="AC68" s="15">
        <f>IF(A68="","",IF(AB68=_xlfn.MAXIFS('Register'!$AB$6:$AB$505,'Register'!$A$6:$A$505,A68),"Y","N"))</f>
        <v/>
      </c>
      <c r="AD68" s="15">
        <f>IF(A68="","",COUNTIF('Register'!$A$6:$A$505,A68))</f>
        <v/>
      </c>
      <c r="AE68" s="17" t="n"/>
      <c r="AF68" s="16" t="n"/>
      <c r="AG68" s="17" t="n"/>
      <c r="AH68" s="17" t="n"/>
      <c r="AI68" s="19">
        <f>IF(AE68="","",AE68+IF(AF68="",TA_NOC,AF68))</f>
        <v/>
      </c>
      <c r="AJ68" s="15">
        <f>IF(AE68="","",IF(AG68="",DATADATE,AG68)-AE68)</f>
        <v/>
      </c>
      <c r="AK68" s="15">
        <f>IF(OR(AI68="",AG68&lt;&gt;""),"",IF(DATADATE&gt;AI68,"OVERDUE",""))</f>
        <v/>
      </c>
      <c r="AL68" s="15">
        <f>IF(AH68="","",IF(AH68&lt;DATADATE,"EXPIRED",IF(AH68-DATADATE&lt;=WARN_EXP,"EXPIRING","")))</f>
        <v/>
      </c>
      <c r="AM68" s="16" t="n"/>
      <c r="AN68" s="16" t="n"/>
      <c r="AO68" s="16" t="n"/>
      <c r="AP68" s="16" t="n"/>
    </row>
    <row r="69">
      <c r="A69" s="15">
        <f>IF(AA69="","",PROJ&amp;"-NOC-"&amp;Z69&amp;"-"&amp;TEXT(AA69,"0000"))</f>
        <v/>
      </c>
      <c r="B69" s="15">
        <f>IF(AA69="","",PROJ)</f>
        <v/>
      </c>
      <c r="C69" s="16" t="n"/>
      <c r="D69" s="16" t="n"/>
      <c r="E69" s="16" t="n"/>
      <c r="F69" s="16" t="n"/>
      <c r="G69" s="16" t="n"/>
      <c r="H69" s="16" t="n"/>
      <c r="I69" s="16" t="n"/>
      <c r="J69" s="16" t="n"/>
      <c r="K69" s="16" t="n"/>
      <c r="L69" s="16" t="n"/>
      <c r="M69" s="16" t="n"/>
      <c r="N69" s="16" t="n"/>
      <c r="O69" s="17" t="n"/>
      <c r="P69" s="16" t="n"/>
      <c r="Q69" s="16" t="n"/>
      <c r="R69" s="16" t="n"/>
      <c r="S69" s="16" t="n"/>
      <c r="T69" s="16" t="n"/>
      <c r="U69" s="16" t="n"/>
      <c r="V69" s="16" t="n"/>
      <c r="W69" s="16" t="n"/>
      <c r="X69" s="16" t="n"/>
      <c r="Y69" s="16" t="n"/>
      <c r="Z69" s="16" t="n"/>
      <c r="AA69" s="16" t="n"/>
      <c r="AB69" s="18" t="n"/>
      <c r="AC69" s="15">
        <f>IF(A69="","",IF(AB69=_xlfn.MAXIFS('Register'!$AB$6:$AB$505,'Register'!$A$6:$A$505,A69),"Y","N"))</f>
        <v/>
      </c>
      <c r="AD69" s="15">
        <f>IF(A69="","",COUNTIF('Register'!$A$6:$A$505,A69))</f>
        <v/>
      </c>
      <c r="AE69" s="17" t="n"/>
      <c r="AF69" s="16" t="n"/>
      <c r="AG69" s="17" t="n"/>
      <c r="AH69" s="17" t="n"/>
      <c r="AI69" s="19">
        <f>IF(AE69="","",AE69+IF(AF69="",TA_NOC,AF69))</f>
        <v/>
      </c>
      <c r="AJ69" s="15">
        <f>IF(AE69="","",IF(AG69="",DATADATE,AG69)-AE69)</f>
        <v/>
      </c>
      <c r="AK69" s="15">
        <f>IF(OR(AI69="",AG69&lt;&gt;""),"",IF(DATADATE&gt;AI69,"OVERDUE",""))</f>
        <v/>
      </c>
      <c r="AL69" s="15">
        <f>IF(AH69="","",IF(AH69&lt;DATADATE,"EXPIRED",IF(AH69-DATADATE&lt;=WARN_EXP,"EXPIRING","")))</f>
        <v/>
      </c>
      <c r="AM69" s="16" t="n"/>
      <c r="AN69" s="16" t="n"/>
      <c r="AO69" s="16" t="n"/>
      <c r="AP69" s="16" t="n"/>
    </row>
    <row r="70">
      <c r="A70" s="15">
        <f>IF(AA70="","",PROJ&amp;"-NOC-"&amp;Z70&amp;"-"&amp;TEXT(AA70,"0000"))</f>
        <v/>
      </c>
      <c r="B70" s="15">
        <f>IF(AA70="","",PROJ)</f>
        <v/>
      </c>
      <c r="C70" s="16" t="n"/>
      <c r="D70" s="16" t="n"/>
      <c r="E70" s="16" t="n"/>
      <c r="F70" s="16" t="n"/>
      <c r="G70" s="16" t="n"/>
      <c r="H70" s="16" t="n"/>
      <c r="I70" s="16" t="n"/>
      <c r="J70" s="16" t="n"/>
      <c r="K70" s="16" t="n"/>
      <c r="L70" s="16" t="n"/>
      <c r="M70" s="16" t="n"/>
      <c r="N70" s="16" t="n"/>
      <c r="O70" s="17" t="n"/>
      <c r="P70" s="16" t="n"/>
      <c r="Q70" s="16" t="n"/>
      <c r="R70" s="16" t="n"/>
      <c r="S70" s="16" t="n"/>
      <c r="T70" s="16" t="n"/>
      <c r="U70" s="16" t="n"/>
      <c r="V70" s="16" t="n"/>
      <c r="W70" s="16" t="n"/>
      <c r="X70" s="16" t="n"/>
      <c r="Y70" s="16" t="n"/>
      <c r="Z70" s="16" t="n"/>
      <c r="AA70" s="16" t="n"/>
      <c r="AB70" s="18" t="n"/>
      <c r="AC70" s="15">
        <f>IF(A70="","",IF(AB70=_xlfn.MAXIFS('Register'!$AB$6:$AB$505,'Register'!$A$6:$A$505,A70),"Y","N"))</f>
        <v/>
      </c>
      <c r="AD70" s="15">
        <f>IF(A70="","",COUNTIF('Register'!$A$6:$A$505,A70))</f>
        <v/>
      </c>
      <c r="AE70" s="17" t="n"/>
      <c r="AF70" s="16" t="n"/>
      <c r="AG70" s="17" t="n"/>
      <c r="AH70" s="17" t="n"/>
      <c r="AI70" s="19">
        <f>IF(AE70="","",AE70+IF(AF70="",TA_NOC,AF70))</f>
        <v/>
      </c>
      <c r="AJ70" s="15">
        <f>IF(AE70="","",IF(AG70="",DATADATE,AG70)-AE70)</f>
        <v/>
      </c>
      <c r="AK70" s="15">
        <f>IF(OR(AI70="",AG70&lt;&gt;""),"",IF(DATADATE&gt;AI70,"OVERDUE",""))</f>
        <v/>
      </c>
      <c r="AL70" s="15">
        <f>IF(AH70="","",IF(AH70&lt;DATADATE,"EXPIRED",IF(AH70-DATADATE&lt;=WARN_EXP,"EXPIRING","")))</f>
        <v/>
      </c>
      <c r="AM70" s="16" t="n"/>
      <c r="AN70" s="16" t="n"/>
      <c r="AO70" s="16" t="n"/>
      <c r="AP70" s="16" t="n"/>
    </row>
    <row r="71">
      <c r="A71" s="15">
        <f>IF(AA71="","",PROJ&amp;"-NOC-"&amp;Z71&amp;"-"&amp;TEXT(AA71,"0000"))</f>
        <v/>
      </c>
      <c r="B71" s="15">
        <f>IF(AA71="","",PROJ)</f>
        <v/>
      </c>
      <c r="C71" s="16" t="n"/>
      <c r="D71" s="16" t="n"/>
      <c r="E71" s="16" t="n"/>
      <c r="F71" s="16" t="n"/>
      <c r="G71" s="16" t="n"/>
      <c r="H71" s="16" t="n"/>
      <c r="I71" s="16" t="n"/>
      <c r="J71" s="16" t="n"/>
      <c r="K71" s="16" t="n"/>
      <c r="L71" s="16" t="n"/>
      <c r="M71" s="16" t="n"/>
      <c r="N71" s="16" t="n"/>
      <c r="O71" s="17" t="n"/>
      <c r="P71" s="16" t="n"/>
      <c r="Q71" s="16" t="n"/>
      <c r="R71" s="16" t="n"/>
      <c r="S71" s="16" t="n"/>
      <c r="T71" s="16" t="n"/>
      <c r="U71" s="16" t="n"/>
      <c r="V71" s="16" t="n"/>
      <c r="W71" s="16" t="n"/>
      <c r="X71" s="16" t="n"/>
      <c r="Y71" s="16" t="n"/>
      <c r="Z71" s="16" t="n"/>
      <c r="AA71" s="16" t="n"/>
      <c r="AB71" s="18" t="n"/>
      <c r="AC71" s="15">
        <f>IF(A71="","",IF(AB71=_xlfn.MAXIFS('Register'!$AB$6:$AB$505,'Register'!$A$6:$A$505,A71),"Y","N"))</f>
        <v/>
      </c>
      <c r="AD71" s="15">
        <f>IF(A71="","",COUNTIF('Register'!$A$6:$A$505,A71))</f>
        <v/>
      </c>
      <c r="AE71" s="17" t="n"/>
      <c r="AF71" s="16" t="n"/>
      <c r="AG71" s="17" t="n"/>
      <c r="AH71" s="17" t="n"/>
      <c r="AI71" s="19">
        <f>IF(AE71="","",AE71+IF(AF71="",TA_NOC,AF71))</f>
        <v/>
      </c>
      <c r="AJ71" s="15">
        <f>IF(AE71="","",IF(AG71="",DATADATE,AG71)-AE71)</f>
        <v/>
      </c>
      <c r="AK71" s="15">
        <f>IF(OR(AI71="",AG71&lt;&gt;""),"",IF(DATADATE&gt;AI71,"OVERDUE",""))</f>
        <v/>
      </c>
      <c r="AL71" s="15">
        <f>IF(AH71="","",IF(AH71&lt;DATADATE,"EXPIRED",IF(AH71-DATADATE&lt;=WARN_EXP,"EXPIRING","")))</f>
        <v/>
      </c>
      <c r="AM71" s="16" t="n"/>
      <c r="AN71" s="16" t="n"/>
      <c r="AO71" s="16" t="n"/>
      <c r="AP71" s="16" t="n"/>
    </row>
    <row r="72">
      <c r="A72" s="15">
        <f>IF(AA72="","",PROJ&amp;"-NOC-"&amp;Z72&amp;"-"&amp;TEXT(AA72,"0000"))</f>
        <v/>
      </c>
      <c r="B72" s="15">
        <f>IF(AA72="","",PROJ)</f>
        <v/>
      </c>
      <c r="C72" s="16" t="n"/>
      <c r="D72" s="16" t="n"/>
      <c r="E72" s="16" t="n"/>
      <c r="F72" s="16" t="n"/>
      <c r="G72" s="16" t="n"/>
      <c r="H72" s="16" t="n"/>
      <c r="I72" s="16" t="n"/>
      <c r="J72" s="16" t="n"/>
      <c r="K72" s="16" t="n"/>
      <c r="L72" s="16" t="n"/>
      <c r="M72" s="16" t="n"/>
      <c r="N72" s="16" t="n"/>
      <c r="O72" s="17" t="n"/>
      <c r="P72" s="16" t="n"/>
      <c r="Q72" s="16" t="n"/>
      <c r="R72" s="16" t="n"/>
      <c r="S72" s="16" t="n"/>
      <c r="T72" s="16" t="n"/>
      <c r="U72" s="16" t="n"/>
      <c r="V72" s="16" t="n"/>
      <c r="W72" s="16" t="n"/>
      <c r="X72" s="16" t="n"/>
      <c r="Y72" s="16" t="n"/>
      <c r="Z72" s="16" t="n"/>
      <c r="AA72" s="16" t="n"/>
      <c r="AB72" s="18" t="n"/>
      <c r="AC72" s="15">
        <f>IF(A72="","",IF(AB72=_xlfn.MAXIFS('Register'!$AB$6:$AB$505,'Register'!$A$6:$A$505,A72),"Y","N"))</f>
        <v/>
      </c>
      <c r="AD72" s="15">
        <f>IF(A72="","",COUNTIF('Register'!$A$6:$A$505,A72))</f>
        <v/>
      </c>
      <c r="AE72" s="17" t="n"/>
      <c r="AF72" s="16" t="n"/>
      <c r="AG72" s="17" t="n"/>
      <c r="AH72" s="17" t="n"/>
      <c r="AI72" s="19">
        <f>IF(AE72="","",AE72+IF(AF72="",TA_NOC,AF72))</f>
        <v/>
      </c>
      <c r="AJ72" s="15">
        <f>IF(AE72="","",IF(AG72="",DATADATE,AG72)-AE72)</f>
        <v/>
      </c>
      <c r="AK72" s="15">
        <f>IF(OR(AI72="",AG72&lt;&gt;""),"",IF(DATADATE&gt;AI72,"OVERDUE",""))</f>
        <v/>
      </c>
      <c r="AL72" s="15">
        <f>IF(AH72="","",IF(AH72&lt;DATADATE,"EXPIRED",IF(AH72-DATADATE&lt;=WARN_EXP,"EXPIRING","")))</f>
        <v/>
      </c>
      <c r="AM72" s="16" t="n"/>
      <c r="AN72" s="16" t="n"/>
      <c r="AO72" s="16" t="n"/>
      <c r="AP72" s="16" t="n"/>
    </row>
    <row r="73">
      <c r="A73" s="15">
        <f>IF(AA73="","",PROJ&amp;"-NOC-"&amp;Z73&amp;"-"&amp;TEXT(AA73,"0000"))</f>
        <v/>
      </c>
      <c r="B73" s="15">
        <f>IF(AA73="","",PROJ)</f>
        <v/>
      </c>
      <c r="C73" s="16" t="n"/>
      <c r="D73" s="16" t="n"/>
      <c r="E73" s="16" t="n"/>
      <c r="F73" s="16" t="n"/>
      <c r="G73" s="16" t="n"/>
      <c r="H73" s="16" t="n"/>
      <c r="I73" s="16" t="n"/>
      <c r="J73" s="16" t="n"/>
      <c r="K73" s="16" t="n"/>
      <c r="L73" s="16" t="n"/>
      <c r="M73" s="16" t="n"/>
      <c r="N73" s="16" t="n"/>
      <c r="O73" s="17" t="n"/>
      <c r="P73" s="16" t="n"/>
      <c r="Q73" s="16" t="n"/>
      <c r="R73" s="16" t="n"/>
      <c r="S73" s="16" t="n"/>
      <c r="T73" s="16" t="n"/>
      <c r="U73" s="16" t="n"/>
      <c r="V73" s="16" t="n"/>
      <c r="W73" s="16" t="n"/>
      <c r="X73" s="16" t="n"/>
      <c r="Y73" s="16" t="n"/>
      <c r="Z73" s="16" t="n"/>
      <c r="AA73" s="16" t="n"/>
      <c r="AB73" s="18" t="n"/>
      <c r="AC73" s="15">
        <f>IF(A73="","",IF(AB73=_xlfn.MAXIFS('Register'!$AB$6:$AB$505,'Register'!$A$6:$A$505,A73),"Y","N"))</f>
        <v/>
      </c>
      <c r="AD73" s="15">
        <f>IF(A73="","",COUNTIF('Register'!$A$6:$A$505,A73))</f>
        <v/>
      </c>
      <c r="AE73" s="17" t="n"/>
      <c r="AF73" s="16" t="n"/>
      <c r="AG73" s="17" t="n"/>
      <c r="AH73" s="17" t="n"/>
      <c r="AI73" s="19">
        <f>IF(AE73="","",AE73+IF(AF73="",TA_NOC,AF73))</f>
        <v/>
      </c>
      <c r="AJ73" s="15">
        <f>IF(AE73="","",IF(AG73="",DATADATE,AG73)-AE73)</f>
        <v/>
      </c>
      <c r="AK73" s="15">
        <f>IF(OR(AI73="",AG73&lt;&gt;""),"",IF(DATADATE&gt;AI73,"OVERDUE",""))</f>
        <v/>
      </c>
      <c r="AL73" s="15">
        <f>IF(AH73="","",IF(AH73&lt;DATADATE,"EXPIRED",IF(AH73-DATADATE&lt;=WARN_EXP,"EXPIRING","")))</f>
        <v/>
      </c>
      <c r="AM73" s="16" t="n"/>
      <c r="AN73" s="16" t="n"/>
      <c r="AO73" s="16" t="n"/>
      <c r="AP73" s="16" t="n"/>
    </row>
    <row r="74">
      <c r="A74" s="15">
        <f>IF(AA74="","",PROJ&amp;"-NOC-"&amp;Z74&amp;"-"&amp;TEXT(AA74,"0000"))</f>
        <v/>
      </c>
      <c r="B74" s="15">
        <f>IF(AA74="","",PROJ)</f>
        <v/>
      </c>
      <c r="C74" s="16" t="n"/>
      <c r="D74" s="16" t="n"/>
      <c r="E74" s="16" t="n"/>
      <c r="F74" s="16" t="n"/>
      <c r="G74" s="16" t="n"/>
      <c r="H74" s="16" t="n"/>
      <c r="I74" s="16" t="n"/>
      <c r="J74" s="16" t="n"/>
      <c r="K74" s="16" t="n"/>
      <c r="L74" s="16" t="n"/>
      <c r="M74" s="16" t="n"/>
      <c r="N74" s="16" t="n"/>
      <c r="O74" s="17" t="n"/>
      <c r="P74" s="16" t="n"/>
      <c r="Q74" s="16" t="n"/>
      <c r="R74" s="16" t="n"/>
      <c r="S74" s="16" t="n"/>
      <c r="T74" s="16" t="n"/>
      <c r="U74" s="16" t="n"/>
      <c r="V74" s="16" t="n"/>
      <c r="W74" s="16" t="n"/>
      <c r="X74" s="16" t="n"/>
      <c r="Y74" s="16" t="n"/>
      <c r="Z74" s="16" t="n"/>
      <c r="AA74" s="16" t="n"/>
      <c r="AB74" s="18" t="n"/>
      <c r="AC74" s="15">
        <f>IF(A74="","",IF(AB74=_xlfn.MAXIFS('Register'!$AB$6:$AB$505,'Register'!$A$6:$A$505,A74),"Y","N"))</f>
        <v/>
      </c>
      <c r="AD74" s="15">
        <f>IF(A74="","",COUNTIF('Register'!$A$6:$A$505,A74))</f>
        <v/>
      </c>
      <c r="AE74" s="17" t="n"/>
      <c r="AF74" s="16" t="n"/>
      <c r="AG74" s="17" t="n"/>
      <c r="AH74" s="17" t="n"/>
      <c r="AI74" s="19">
        <f>IF(AE74="","",AE74+IF(AF74="",TA_NOC,AF74))</f>
        <v/>
      </c>
      <c r="AJ74" s="15">
        <f>IF(AE74="","",IF(AG74="",DATADATE,AG74)-AE74)</f>
        <v/>
      </c>
      <c r="AK74" s="15">
        <f>IF(OR(AI74="",AG74&lt;&gt;""),"",IF(DATADATE&gt;AI74,"OVERDUE",""))</f>
        <v/>
      </c>
      <c r="AL74" s="15">
        <f>IF(AH74="","",IF(AH74&lt;DATADATE,"EXPIRED",IF(AH74-DATADATE&lt;=WARN_EXP,"EXPIRING","")))</f>
        <v/>
      </c>
      <c r="AM74" s="16" t="n"/>
      <c r="AN74" s="16" t="n"/>
      <c r="AO74" s="16" t="n"/>
      <c r="AP74" s="16" t="n"/>
    </row>
    <row r="75">
      <c r="A75" s="15">
        <f>IF(AA75="","",PROJ&amp;"-NOC-"&amp;Z75&amp;"-"&amp;TEXT(AA75,"0000"))</f>
        <v/>
      </c>
      <c r="B75" s="15">
        <f>IF(AA75="","",PROJ)</f>
        <v/>
      </c>
      <c r="C75" s="16" t="n"/>
      <c r="D75" s="16" t="n"/>
      <c r="E75" s="16" t="n"/>
      <c r="F75" s="16" t="n"/>
      <c r="G75" s="16" t="n"/>
      <c r="H75" s="16" t="n"/>
      <c r="I75" s="16" t="n"/>
      <c r="J75" s="16" t="n"/>
      <c r="K75" s="16" t="n"/>
      <c r="L75" s="16" t="n"/>
      <c r="M75" s="16" t="n"/>
      <c r="N75" s="16" t="n"/>
      <c r="O75" s="17" t="n"/>
      <c r="P75" s="16" t="n"/>
      <c r="Q75" s="16" t="n"/>
      <c r="R75" s="16" t="n"/>
      <c r="S75" s="16" t="n"/>
      <c r="T75" s="16" t="n"/>
      <c r="U75" s="16" t="n"/>
      <c r="V75" s="16" t="n"/>
      <c r="W75" s="16" t="n"/>
      <c r="X75" s="16" t="n"/>
      <c r="Y75" s="16" t="n"/>
      <c r="Z75" s="16" t="n"/>
      <c r="AA75" s="16" t="n"/>
      <c r="AB75" s="18" t="n"/>
      <c r="AC75" s="15">
        <f>IF(A75="","",IF(AB75=_xlfn.MAXIFS('Register'!$AB$6:$AB$505,'Register'!$A$6:$A$505,A75),"Y","N"))</f>
        <v/>
      </c>
      <c r="AD75" s="15">
        <f>IF(A75="","",COUNTIF('Register'!$A$6:$A$505,A75))</f>
        <v/>
      </c>
      <c r="AE75" s="17" t="n"/>
      <c r="AF75" s="16" t="n"/>
      <c r="AG75" s="17" t="n"/>
      <c r="AH75" s="17" t="n"/>
      <c r="AI75" s="19">
        <f>IF(AE75="","",AE75+IF(AF75="",TA_NOC,AF75))</f>
        <v/>
      </c>
      <c r="AJ75" s="15">
        <f>IF(AE75="","",IF(AG75="",DATADATE,AG75)-AE75)</f>
        <v/>
      </c>
      <c r="AK75" s="15">
        <f>IF(OR(AI75="",AG75&lt;&gt;""),"",IF(DATADATE&gt;AI75,"OVERDUE",""))</f>
        <v/>
      </c>
      <c r="AL75" s="15">
        <f>IF(AH75="","",IF(AH75&lt;DATADATE,"EXPIRED",IF(AH75-DATADATE&lt;=WARN_EXP,"EXPIRING","")))</f>
        <v/>
      </c>
      <c r="AM75" s="16" t="n"/>
      <c r="AN75" s="16" t="n"/>
      <c r="AO75" s="16" t="n"/>
      <c r="AP75" s="16" t="n"/>
    </row>
    <row r="76">
      <c r="A76" s="15">
        <f>IF(AA76="","",PROJ&amp;"-NOC-"&amp;Z76&amp;"-"&amp;TEXT(AA76,"0000"))</f>
        <v/>
      </c>
      <c r="B76" s="15">
        <f>IF(AA76="","",PROJ)</f>
        <v/>
      </c>
      <c r="C76" s="16" t="n"/>
      <c r="D76" s="16" t="n"/>
      <c r="E76" s="16" t="n"/>
      <c r="F76" s="16" t="n"/>
      <c r="G76" s="16" t="n"/>
      <c r="H76" s="16" t="n"/>
      <c r="I76" s="16" t="n"/>
      <c r="J76" s="16" t="n"/>
      <c r="K76" s="16" t="n"/>
      <c r="L76" s="16" t="n"/>
      <c r="M76" s="16" t="n"/>
      <c r="N76" s="16" t="n"/>
      <c r="O76" s="17" t="n"/>
      <c r="P76" s="16" t="n"/>
      <c r="Q76" s="16" t="n"/>
      <c r="R76" s="16" t="n"/>
      <c r="S76" s="16" t="n"/>
      <c r="T76" s="16" t="n"/>
      <c r="U76" s="16" t="n"/>
      <c r="V76" s="16" t="n"/>
      <c r="W76" s="16" t="n"/>
      <c r="X76" s="16" t="n"/>
      <c r="Y76" s="16" t="n"/>
      <c r="Z76" s="16" t="n"/>
      <c r="AA76" s="16" t="n"/>
      <c r="AB76" s="18" t="n"/>
      <c r="AC76" s="15">
        <f>IF(A76="","",IF(AB76=_xlfn.MAXIFS('Register'!$AB$6:$AB$505,'Register'!$A$6:$A$505,A76),"Y","N"))</f>
        <v/>
      </c>
      <c r="AD76" s="15">
        <f>IF(A76="","",COUNTIF('Register'!$A$6:$A$505,A76))</f>
        <v/>
      </c>
      <c r="AE76" s="17" t="n"/>
      <c r="AF76" s="16" t="n"/>
      <c r="AG76" s="17" t="n"/>
      <c r="AH76" s="17" t="n"/>
      <c r="AI76" s="19">
        <f>IF(AE76="","",AE76+IF(AF76="",TA_NOC,AF76))</f>
        <v/>
      </c>
      <c r="AJ76" s="15">
        <f>IF(AE76="","",IF(AG76="",DATADATE,AG76)-AE76)</f>
        <v/>
      </c>
      <c r="AK76" s="15">
        <f>IF(OR(AI76="",AG76&lt;&gt;""),"",IF(DATADATE&gt;AI76,"OVERDUE",""))</f>
        <v/>
      </c>
      <c r="AL76" s="15">
        <f>IF(AH76="","",IF(AH76&lt;DATADATE,"EXPIRED",IF(AH76-DATADATE&lt;=WARN_EXP,"EXPIRING","")))</f>
        <v/>
      </c>
      <c r="AM76" s="16" t="n"/>
      <c r="AN76" s="16" t="n"/>
      <c r="AO76" s="16" t="n"/>
      <c r="AP76" s="16" t="n"/>
    </row>
    <row r="77">
      <c r="A77" s="15">
        <f>IF(AA77="","",PROJ&amp;"-NOC-"&amp;Z77&amp;"-"&amp;TEXT(AA77,"0000"))</f>
        <v/>
      </c>
      <c r="B77" s="15">
        <f>IF(AA77="","",PROJ)</f>
        <v/>
      </c>
      <c r="C77" s="16" t="n"/>
      <c r="D77" s="16" t="n"/>
      <c r="E77" s="16" t="n"/>
      <c r="F77" s="16" t="n"/>
      <c r="G77" s="16" t="n"/>
      <c r="H77" s="16" t="n"/>
      <c r="I77" s="16" t="n"/>
      <c r="J77" s="16" t="n"/>
      <c r="K77" s="16" t="n"/>
      <c r="L77" s="16" t="n"/>
      <c r="M77" s="16" t="n"/>
      <c r="N77" s="16" t="n"/>
      <c r="O77" s="17" t="n"/>
      <c r="P77" s="16" t="n"/>
      <c r="Q77" s="16" t="n"/>
      <c r="R77" s="16" t="n"/>
      <c r="S77" s="16" t="n"/>
      <c r="T77" s="16" t="n"/>
      <c r="U77" s="16" t="n"/>
      <c r="V77" s="16" t="n"/>
      <c r="W77" s="16" t="n"/>
      <c r="X77" s="16" t="n"/>
      <c r="Y77" s="16" t="n"/>
      <c r="Z77" s="16" t="n"/>
      <c r="AA77" s="16" t="n"/>
      <c r="AB77" s="18" t="n"/>
      <c r="AC77" s="15">
        <f>IF(A77="","",IF(AB77=_xlfn.MAXIFS('Register'!$AB$6:$AB$505,'Register'!$A$6:$A$505,A77),"Y","N"))</f>
        <v/>
      </c>
      <c r="AD77" s="15">
        <f>IF(A77="","",COUNTIF('Register'!$A$6:$A$505,A77))</f>
        <v/>
      </c>
      <c r="AE77" s="17" t="n"/>
      <c r="AF77" s="16" t="n"/>
      <c r="AG77" s="17" t="n"/>
      <c r="AH77" s="17" t="n"/>
      <c r="AI77" s="19">
        <f>IF(AE77="","",AE77+IF(AF77="",TA_NOC,AF77))</f>
        <v/>
      </c>
      <c r="AJ77" s="15">
        <f>IF(AE77="","",IF(AG77="",DATADATE,AG77)-AE77)</f>
        <v/>
      </c>
      <c r="AK77" s="15">
        <f>IF(OR(AI77="",AG77&lt;&gt;""),"",IF(DATADATE&gt;AI77,"OVERDUE",""))</f>
        <v/>
      </c>
      <c r="AL77" s="15">
        <f>IF(AH77="","",IF(AH77&lt;DATADATE,"EXPIRED",IF(AH77-DATADATE&lt;=WARN_EXP,"EXPIRING","")))</f>
        <v/>
      </c>
      <c r="AM77" s="16" t="n"/>
      <c r="AN77" s="16" t="n"/>
      <c r="AO77" s="16" t="n"/>
      <c r="AP77" s="16" t="n"/>
    </row>
    <row r="78">
      <c r="A78" s="15">
        <f>IF(AA78="","",PROJ&amp;"-NOC-"&amp;Z78&amp;"-"&amp;TEXT(AA78,"0000"))</f>
        <v/>
      </c>
      <c r="B78" s="15">
        <f>IF(AA78="","",PROJ)</f>
        <v/>
      </c>
      <c r="C78" s="16" t="n"/>
      <c r="D78" s="16" t="n"/>
      <c r="E78" s="16" t="n"/>
      <c r="F78" s="16" t="n"/>
      <c r="G78" s="16" t="n"/>
      <c r="H78" s="16" t="n"/>
      <c r="I78" s="16" t="n"/>
      <c r="J78" s="16" t="n"/>
      <c r="K78" s="16" t="n"/>
      <c r="L78" s="16" t="n"/>
      <c r="M78" s="16" t="n"/>
      <c r="N78" s="16" t="n"/>
      <c r="O78" s="17" t="n"/>
      <c r="P78" s="16" t="n"/>
      <c r="Q78" s="16" t="n"/>
      <c r="R78" s="16" t="n"/>
      <c r="S78" s="16" t="n"/>
      <c r="T78" s="16" t="n"/>
      <c r="U78" s="16" t="n"/>
      <c r="V78" s="16" t="n"/>
      <c r="W78" s="16" t="n"/>
      <c r="X78" s="16" t="n"/>
      <c r="Y78" s="16" t="n"/>
      <c r="Z78" s="16" t="n"/>
      <c r="AA78" s="16" t="n"/>
      <c r="AB78" s="18" t="n"/>
      <c r="AC78" s="15">
        <f>IF(A78="","",IF(AB78=_xlfn.MAXIFS('Register'!$AB$6:$AB$505,'Register'!$A$6:$A$505,A78),"Y","N"))</f>
        <v/>
      </c>
      <c r="AD78" s="15">
        <f>IF(A78="","",COUNTIF('Register'!$A$6:$A$505,A78))</f>
        <v/>
      </c>
      <c r="AE78" s="17" t="n"/>
      <c r="AF78" s="16" t="n"/>
      <c r="AG78" s="17" t="n"/>
      <c r="AH78" s="17" t="n"/>
      <c r="AI78" s="19">
        <f>IF(AE78="","",AE78+IF(AF78="",TA_NOC,AF78))</f>
        <v/>
      </c>
      <c r="AJ78" s="15">
        <f>IF(AE78="","",IF(AG78="",DATADATE,AG78)-AE78)</f>
        <v/>
      </c>
      <c r="AK78" s="15">
        <f>IF(OR(AI78="",AG78&lt;&gt;""),"",IF(DATADATE&gt;AI78,"OVERDUE",""))</f>
        <v/>
      </c>
      <c r="AL78" s="15">
        <f>IF(AH78="","",IF(AH78&lt;DATADATE,"EXPIRED",IF(AH78-DATADATE&lt;=WARN_EXP,"EXPIRING","")))</f>
        <v/>
      </c>
      <c r="AM78" s="16" t="n"/>
      <c r="AN78" s="16" t="n"/>
      <c r="AO78" s="16" t="n"/>
      <c r="AP78" s="16" t="n"/>
    </row>
    <row r="79">
      <c r="A79" s="15">
        <f>IF(AA79="","",PROJ&amp;"-NOC-"&amp;Z79&amp;"-"&amp;TEXT(AA79,"0000"))</f>
        <v/>
      </c>
      <c r="B79" s="15">
        <f>IF(AA79="","",PROJ)</f>
        <v/>
      </c>
      <c r="C79" s="16" t="n"/>
      <c r="D79" s="16" t="n"/>
      <c r="E79" s="16" t="n"/>
      <c r="F79" s="16" t="n"/>
      <c r="G79" s="16" t="n"/>
      <c r="H79" s="16" t="n"/>
      <c r="I79" s="16" t="n"/>
      <c r="J79" s="16" t="n"/>
      <c r="K79" s="16" t="n"/>
      <c r="L79" s="16" t="n"/>
      <c r="M79" s="16" t="n"/>
      <c r="N79" s="16" t="n"/>
      <c r="O79" s="17" t="n"/>
      <c r="P79" s="16" t="n"/>
      <c r="Q79" s="16" t="n"/>
      <c r="R79" s="16" t="n"/>
      <c r="S79" s="16" t="n"/>
      <c r="T79" s="16" t="n"/>
      <c r="U79" s="16" t="n"/>
      <c r="V79" s="16" t="n"/>
      <c r="W79" s="16" t="n"/>
      <c r="X79" s="16" t="n"/>
      <c r="Y79" s="16" t="n"/>
      <c r="Z79" s="16" t="n"/>
      <c r="AA79" s="16" t="n"/>
      <c r="AB79" s="18" t="n"/>
      <c r="AC79" s="15">
        <f>IF(A79="","",IF(AB79=_xlfn.MAXIFS('Register'!$AB$6:$AB$505,'Register'!$A$6:$A$505,A79),"Y","N"))</f>
        <v/>
      </c>
      <c r="AD79" s="15">
        <f>IF(A79="","",COUNTIF('Register'!$A$6:$A$505,A79))</f>
        <v/>
      </c>
      <c r="AE79" s="17" t="n"/>
      <c r="AF79" s="16" t="n"/>
      <c r="AG79" s="17" t="n"/>
      <c r="AH79" s="17" t="n"/>
      <c r="AI79" s="19">
        <f>IF(AE79="","",AE79+IF(AF79="",TA_NOC,AF79))</f>
        <v/>
      </c>
      <c r="AJ79" s="15">
        <f>IF(AE79="","",IF(AG79="",DATADATE,AG79)-AE79)</f>
        <v/>
      </c>
      <c r="AK79" s="15">
        <f>IF(OR(AI79="",AG79&lt;&gt;""),"",IF(DATADATE&gt;AI79,"OVERDUE",""))</f>
        <v/>
      </c>
      <c r="AL79" s="15">
        <f>IF(AH79="","",IF(AH79&lt;DATADATE,"EXPIRED",IF(AH79-DATADATE&lt;=WARN_EXP,"EXPIRING","")))</f>
        <v/>
      </c>
      <c r="AM79" s="16" t="n"/>
      <c r="AN79" s="16" t="n"/>
      <c r="AO79" s="16" t="n"/>
      <c r="AP79" s="16" t="n"/>
    </row>
    <row r="80">
      <c r="A80" s="15">
        <f>IF(AA80="","",PROJ&amp;"-NOC-"&amp;Z80&amp;"-"&amp;TEXT(AA80,"0000"))</f>
        <v/>
      </c>
      <c r="B80" s="15">
        <f>IF(AA80="","",PROJ)</f>
        <v/>
      </c>
      <c r="C80" s="16" t="n"/>
      <c r="D80" s="16" t="n"/>
      <c r="E80" s="16" t="n"/>
      <c r="F80" s="16" t="n"/>
      <c r="G80" s="16" t="n"/>
      <c r="H80" s="16" t="n"/>
      <c r="I80" s="16" t="n"/>
      <c r="J80" s="16" t="n"/>
      <c r="K80" s="16" t="n"/>
      <c r="L80" s="16" t="n"/>
      <c r="M80" s="16" t="n"/>
      <c r="N80" s="16" t="n"/>
      <c r="O80" s="17" t="n"/>
      <c r="P80" s="16" t="n"/>
      <c r="Q80" s="16" t="n"/>
      <c r="R80" s="16" t="n"/>
      <c r="S80" s="16" t="n"/>
      <c r="T80" s="16" t="n"/>
      <c r="U80" s="16" t="n"/>
      <c r="V80" s="16" t="n"/>
      <c r="W80" s="16" t="n"/>
      <c r="X80" s="16" t="n"/>
      <c r="Y80" s="16" t="n"/>
      <c r="Z80" s="16" t="n"/>
      <c r="AA80" s="16" t="n"/>
      <c r="AB80" s="18" t="n"/>
      <c r="AC80" s="15">
        <f>IF(A80="","",IF(AB80=_xlfn.MAXIFS('Register'!$AB$6:$AB$505,'Register'!$A$6:$A$505,A80),"Y","N"))</f>
        <v/>
      </c>
      <c r="AD80" s="15">
        <f>IF(A80="","",COUNTIF('Register'!$A$6:$A$505,A80))</f>
        <v/>
      </c>
      <c r="AE80" s="17" t="n"/>
      <c r="AF80" s="16" t="n"/>
      <c r="AG80" s="17" t="n"/>
      <c r="AH80" s="17" t="n"/>
      <c r="AI80" s="19">
        <f>IF(AE80="","",AE80+IF(AF80="",TA_NOC,AF80))</f>
        <v/>
      </c>
      <c r="AJ80" s="15">
        <f>IF(AE80="","",IF(AG80="",DATADATE,AG80)-AE80)</f>
        <v/>
      </c>
      <c r="AK80" s="15">
        <f>IF(OR(AI80="",AG80&lt;&gt;""),"",IF(DATADATE&gt;AI80,"OVERDUE",""))</f>
        <v/>
      </c>
      <c r="AL80" s="15">
        <f>IF(AH80="","",IF(AH80&lt;DATADATE,"EXPIRED",IF(AH80-DATADATE&lt;=WARN_EXP,"EXPIRING","")))</f>
        <v/>
      </c>
      <c r="AM80" s="16" t="n"/>
      <c r="AN80" s="16" t="n"/>
      <c r="AO80" s="16" t="n"/>
      <c r="AP80" s="16" t="n"/>
    </row>
    <row r="81">
      <c r="A81" s="15">
        <f>IF(AA81="","",PROJ&amp;"-NOC-"&amp;Z81&amp;"-"&amp;TEXT(AA81,"0000"))</f>
        <v/>
      </c>
      <c r="B81" s="15">
        <f>IF(AA81="","",PROJ)</f>
        <v/>
      </c>
      <c r="C81" s="16" t="n"/>
      <c r="D81" s="16" t="n"/>
      <c r="E81" s="16" t="n"/>
      <c r="F81" s="16" t="n"/>
      <c r="G81" s="16" t="n"/>
      <c r="H81" s="16" t="n"/>
      <c r="I81" s="16" t="n"/>
      <c r="J81" s="16" t="n"/>
      <c r="K81" s="16" t="n"/>
      <c r="L81" s="16" t="n"/>
      <c r="M81" s="16" t="n"/>
      <c r="N81" s="16" t="n"/>
      <c r="O81" s="17" t="n"/>
      <c r="P81" s="16" t="n"/>
      <c r="Q81" s="16" t="n"/>
      <c r="R81" s="16" t="n"/>
      <c r="S81" s="16" t="n"/>
      <c r="T81" s="16" t="n"/>
      <c r="U81" s="16" t="n"/>
      <c r="V81" s="16" t="n"/>
      <c r="W81" s="16" t="n"/>
      <c r="X81" s="16" t="n"/>
      <c r="Y81" s="16" t="n"/>
      <c r="Z81" s="16" t="n"/>
      <c r="AA81" s="16" t="n"/>
      <c r="AB81" s="18" t="n"/>
      <c r="AC81" s="15">
        <f>IF(A81="","",IF(AB81=_xlfn.MAXIFS('Register'!$AB$6:$AB$505,'Register'!$A$6:$A$505,A81),"Y","N"))</f>
        <v/>
      </c>
      <c r="AD81" s="15">
        <f>IF(A81="","",COUNTIF('Register'!$A$6:$A$505,A81))</f>
        <v/>
      </c>
      <c r="AE81" s="17" t="n"/>
      <c r="AF81" s="16" t="n"/>
      <c r="AG81" s="17" t="n"/>
      <c r="AH81" s="17" t="n"/>
      <c r="AI81" s="19">
        <f>IF(AE81="","",AE81+IF(AF81="",TA_NOC,AF81))</f>
        <v/>
      </c>
      <c r="AJ81" s="15">
        <f>IF(AE81="","",IF(AG81="",DATADATE,AG81)-AE81)</f>
        <v/>
      </c>
      <c r="AK81" s="15">
        <f>IF(OR(AI81="",AG81&lt;&gt;""),"",IF(DATADATE&gt;AI81,"OVERDUE",""))</f>
        <v/>
      </c>
      <c r="AL81" s="15">
        <f>IF(AH81="","",IF(AH81&lt;DATADATE,"EXPIRED",IF(AH81-DATADATE&lt;=WARN_EXP,"EXPIRING","")))</f>
        <v/>
      </c>
      <c r="AM81" s="16" t="n"/>
      <c r="AN81" s="16" t="n"/>
      <c r="AO81" s="16" t="n"/>
      <c r="AP81" s="16" t="n"/>
    </row>
    <row r="82">
      <c r="A82" s="15">
        <f>IF(AA82="","",PROJ&amp;"-NOC-"&amp;Z82&amp;"-"&amp;TEXT(AA82,"0000"))</f>
        <v/>
      </c>
      <c r="B82" s="15">
        <f>IF(AA82="","",PROJ)</f>
        <v/>
      </c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7" t="n"/>
      <c r="P82" s="16" t="n"/>
      <c r="Q82" s="16" t="n"/>
      <c r="R82" s="16" t="n"/>
      <c r="S82" s="16" t="n"/>
      <c r="T82" s="16" t="n"/>
      <c r="U82" s="16" t="n"/>
      <c r="V82" s="16" t="n"/>
      <c r="W82" s="16" t="n"/>
      <c r="X82" s="16" t="n"/>
      <c r="Y82" s="16" t="n"/>
      <c r="Z82" s="16" t="n"/>
      <c r="AA82" s="16" t="n"/>
      <c r="AB82" s="18" t="n"/>
      <c r="AC82" s="15">
        <f>IF(A82="","",IF(AB82=_xlfn.MAXIFS('Register'!$AB$6:$AB$505,'Register'!$A$6:$A$505,A82),"Y","N"))</f>
        <v/>
      </c>
      <c r="AD82" s="15">
        <f>IF(A82="","",COUNTIF('Register'!$A$6:$A$505,A82))</f>
        <v/>
      </c>
      <c r="AE82" s="17" t="n"/>
      <c r="AF82" s="16" t="n"/>
      <c r="AG82" s="17" t="n"/>
      <c r="AH82" s="17" t="n"/>
      <c r="AI82" s="19">
        <f>IF(AE82="","",AE82+IF(AF82="",TA_NOC,AF82))</f>
        <v/>
      </c>
      <c r="AJ82" s="15">
        <f>IF(AE82="","",IF(AG82="",DATADATE,AG82)-AE82)</f>
        <v/>
      </c>
      <c r="AK82" s="15">
        <f>IF(OR(AI82="",AG82&lt;&gt;""),"",IF(DATADATE&gt;AI82,"OVERDUE",""))</f>
        <v/>
      </c>
      <c r="AL82" s="15">
        <f>IF(AH82="","",IF(AH82&lt;DATADATE,"EXPIRED",IF(AH82-DATADATE&lt;=WARN_EXP,"EXPIRING","")))</f>
        <v/>
      </c>
      <c r="AM82" s="16" t="n"/>
      <c r="AN82" s="16" t="n"/>
      <c r="AO82" s="16" t="n"/>
      <c r="AP82" s="16" t="n"/>
    </row>
    <row r="83">
      <c r="A83" s="15">
        <f>IF(AA83="","",PROJ&amp;"-NOC-"&amp;Z83&amp;"-"&amp;TEXT(AA83,"0000"))</f>
        <v/>
      </c>
      <c r="B83" s="15">
        <f>IF(AA83="","",PROJ)</f>
        <v/>
      </c>
      <c r="C83" s="16" t="n"/>
      <c r="D83" s="16" t="n"/>
      <c r="E83" s="16" t="n"/>
      <c r="F83" s="16" t="n"/>
      <c r="G83" s="16" t="n"/>
      <c r="H83" s="16" t="n"/>
      <c r="I83" s="16" t="n"/>
      <c r="J83" s="16" t="n"/>
      <c r="K83" s="16" t="n"/>
      <c r="L83" s="16" t="n"/>
      <c r="M83" s="16" t="n"/>
      <c r="N83" s="16" t="n"/>
      <c r="O83" s="17" t="n"/>
      <c r="P83" s="16" t="n"/>
      <c r="Q83" s="16" t="n"/>
      <c r="R83" s="16" t="n"/>
      <c r="S83" s="16" t="n"/>
      <c r="T83" s="16" t="n"/>
      <c r="U83" s="16" t="n"/>
      <c r="V83" s="16" t="n"/>
      <c r="W83" s="16" t="n"/>
      <c r="X83" s="16" t="n"/>
      <c r="Y83" s="16" t="n"/>
      <c r="Z83" s="16" t="n"/>
      <c r="AA83" s="16" t="n"/>
      <c r="AB83" s="18" t="n"/>
      <c r="AC83" s="15">
        <f>IF(A83="","",IF(AB83=_xlfn.MAXIFS('Register'!$AB$6:$AB$505,'Register'!$A$6:$A$505,A83),"Y","N"))</f>
        <v/>
      </c>
      <c r="AD83" s="15">
        <f>IF(A83="","",COUNTIF('Register'!$A$6:$A$505,A83))</f>
        <v/>
      </c>
      <c r="AE83" s="17" t="n"/>
      <c r="AF83" s="16" t="n"/>
      <c r="AG83" s="17" t="n"/>
      <c r="AH83" s="17" t="n"/>
      <c r="AI83" s="19">
        <f>IF(AE83="","",AE83+IF(AF83="",TA_NOC,AF83))</f>
        <v/>
      </c>
      <c r="AJ83" s="15">
        <f>IF(AE83="","",IF(AG83="",DATADATE,AG83)-AE83)</f>
        <v/>
      </c>
      <c r="AK83" s="15">
        <f>IF(OR(AI83="",AG83&lt;&gt;""),"",IF(DATADATE&gt;AI83,"OVERDUE",""))</f>
        <v/>
      </c>
      <c r="AL83" s="15">
        <f>IF(AH83="","",IF(AH83&lt;DATADATE,"EXPIRED",IF(AH83-DATADATE&lt;=WARN_EXP,"EXPIRING","")))</f>
        <v/>
      </c>
      <c r="AM83" s="16" t="n"/>
      <c r="AN83" s="16" t="n"/>
      <c r="AO83" s="16" t="n"/>
      <c r="AP83" s="16" t="n"/>
    </row>
    <row r="84">
      <c r="A84" s="15">
        <f>IF(AA84="","",PROJ&amp;"-NOC-"&amp;Z84&amp;"-"&amp;TEXT(AA84,"0000"))</f>
        <v/>
      </c>
      <c r="B84" s="15">
        <f>IF(AA84="","",PROJ)</f>
        <v/>
      </c>
      <c r="C84" s="16" t="n"/>
      <c r="D84" s="16" t="n"/>
      <c r="E84" s="16" t="n"/>
      <c r="F84" s="16" t="n"/>
      <c r="G84" s="16" t="n"/>
      <c r="H84" s="16" t="n"/>
      <c r="I84" s="16" t="n"/>
      <c r="J84" s="16" t="n"/>
      <c r="K84" s="16" t="n"/>
      <c r="L84" s="16" t="n"/>
      <c r="M84" s="16" t="n"/>
      <c r="N84" s="16" t="n"/>
      <c r="O84" s="17" t="n"/>
      <c r="P84" s="16" t="n"/>
      <c r="Q84" s="16" t="n"/>
      <c r="R84" s="16" t="n"/>
      <c r="S84" s="16" t="n"/>
      <c r="T84" s="16" t="n"/>
      <c r="U84" s="16" t="n"/>
      <c r="V84" s="16" t="n"/>
      <c r="W84" s="16" t="n"/>
      <c r="X84" s="16" t="n"/>
      <c r="Y84" s="16" t="n"/>
      <c r="Z84" s="16" t="n"/>
      <c r="AA84" s="16" t="n"/>
      <c r="AB84" s="18" t="n"/>
      <c r="AC84" s="15">
        <f>IF(A84="","",IF(AB84=_xlfn.MAXIFS('Register'!$AB$6:$AB$505,'Register'!$A$6:$A$505,A84),"Y","N"))</f>
        <v/>
      </c>
      <c r="AD84" s="15">
        <f>IF(A84="","",COUNTIF('Register'!$A$6:$A$505,A84))</f>
        <v/>
      </c>
      <c r="AE84" s="17" t="n"/>
      <c r="AF84" s="16" t="n"/>
      <c r="AG84" s="17" t="n"/>
      <c r="AH84" s="17" t="n"/>
      <c r="AI84" s="19">
        <f>IF(AE84="","",AE84+IF(AF84="",TA_NOC,AF84))</f>
        <v/>
      </c>
      <c r="AJ84" s="15">
        <f>IF(AE84="","",IF(AG84="",DATADATE,AG84)-AE84)</f>
        <v/>
      </c>
      <c r="AK84" s="15">
        <f>IF(OR(AI84="",AG84&lt;&gt;""),"",IF(DATADATE&gt;AI84,"OVERDUE",""))</f>
        <v/>
      </c>
      <c r="AL84" s="15">
        <f>IF(AH84="","",IF(AH84&lt;DATADATE,"EXPIRED",IF(AH84-DATADATE&lt;=WARN_EXP,"EXPIRING","")))</f>
        <v/>
      </c>
      <c r="AM84" s="16" t="n"/>
      <c r="AN84" s="16" t="n"/>
      <c r="AO84" s="16" t="n"/>
      <c r="AP84" s="16" t="n"/>
    </row>
    <row r="85">
      <c r="A85" s="15">
        <f>IF(AA85="","",PROJ&amp;"-NOC-"&amp;Z85&amp;"-"&amp;TEXT(AA85,"0000"))</f>
        <v/>
      </c>
      <c r="B85" s="15">
        <f>IF(AA85="","",PROJ)</f>
        <v/>
      </c>
      <c r="C85" s="16" t="n"/>
      <c r="D85" s="16" t="n"/>
      <c r="E85" s="16" t="n"/>
      <c r="F85" s="16" t="n"/>
      <c r="G85" s="16" t="n"/>
      <c r="H85" s="16" t="n"/>
      <c r="I85" s="16" t="n"/>
      <c r="J85" s="16" t="n"/>
      <c r="K85" s="16" t="n"/>
      <c r="L85" s="16" t="n"/>
      <c r="M85" s="16" t="n"/>
      <c r="N85" s="16" t="n"/>
      <c r="O85" s="17" t="n"/>
      <c r="P85" s="16" t="n"/>
      <c r="Q85" s="16" t="n"/>
      <c r="R85" s="16" t="n"/>
      <c r="S85" s="16" t="n"/>
      <c r="T85" s="16" t="n"/>
      <c r="U85" s="16" t="n"/>
      <c r="V85" s="16" t="n"/>
      <c r="W85" s="16" t="n"/>
      <c r="X85" s="16" t="n"/>
      <c r="Y85" s="16" t="n"/>
      <c r="Z85" s="16" t="n"/>
      <c r="AA85" s="16" t="n"/>
      <c r="AB85" s="18" t="n"/>
      <c r="AC85" s="15">
        <f>IF(A85="","",IF(AB85=_xlfn.MAXIFS('Register'!$AB$6:$AB$505,'Register'!$A$6:$A$505,A85),"Y","N"))</f>
        <v/>
      </c>
      <c r="AD85" s="15">
        <f>IF(A85="","",COUNTIF('Register'!$A$6:$A$505,A85))</f>
        <v/>
      </c>
      <c r="AE85" s="17" t="n"/>
      <c r="AF85" s="16" t="n"/>
      <c r="AG85" s="17" t="n"/>
      <c r="AH85" s="17" t="n"/>
      <c r="AI85" s="19">
        <f>IF(AE85="","",AE85+IF(AF85="",TA_NOC,AF85))</f>
        <v/>
      </c>
      <c r="AJ85" s="15">
        <f>IF(AE85="","",IF(AG85="",DATADATE,AG85)-AE85)</f>
        <v/>
      </c>
      <c r="AK85" s="15">
        <f>IF(OR(AI85="",AG85&lt;&gt;""),"",IF(DATADATE&gt;AI85,"OVERDUE",""))</f>
        <v/>
      </c>
      <c r="AL85" s="15">
        <f>IF(AH85="","",IF(AH85&lt;DATADATE,"EXPIRED",IF(AH85-DATADATE&lt;=WARN_EXP,"EXPIRING","")))</f>
        <v/>
      </c>
      <c r="AM85" s="16" t="n"/>
      <c r="AN85" s="16" t="n"/>
      <c r="AO85" s="16" t="n"/>
      <c r="AP85" s="16" t="n"/>
    </row>
    <row r="86">
      <c r="A86" s="15">
        <f>IF(AA86="","",PROJ&amp;"-NOC-"&amp;Z86&amp;"-"&amp;TEXT(AA86,"0000"))</f>
        <v/>
      </c>
      <c r="B86" s="15">
        <f>IF(AA86="","",PROJ)</f>
        <v/>
      </c>
      <c r="C86" s="16" t="n"/>
      <c r="D86" s="16" t="n"/>
      <c r="E86" s="16" t="n"/>
      <c r="F86" s="16" t="n"/>
      <c r="G86" s="16" t="n"/>
      <c r="H86" s="16" t="n"/>
      <c r="I86" s="16" t="n"/>
      <c r="J86" s="16" t="n"/>
      <c r="K86" s="16" t="n"/>
      <c r="L86" s="16" t="n"/>
      <c r="M86" s="16" t="n"/>
      <c r="N86" s="16" t="n"/>
      <c r="O86" s="17" t="n"/>
      <c r="P86" s="16" t="n"/>
      <c r="Q86" s="16" t="n"/>
      <c r="R86" s="16" t="n"/>
      <c r="S86" s="16" t="n"/>
      <c r="T86" s="16" t="n"/>
      <c r="U86" s="16" t="n"/>
      <c r="V86" s="16" t="n"/>
      <c r="W86" s="16" t="n"/>
      <c r="X86" s="16" t="n"/>
      <c r="Y86" s="16" t="n"/>
      <c r="Z86" s="16" t="n"/>
      <c r="AA86" s="16" t="n"/>
      <c r="AB86" s="18" t="n"/>
      <c r="AC86" s="15">
        <f>IF(A86="","",IF(AB86=_xlfn.MAXIFS('Register'!$AB$6:$AB$505,'Register'!$A$6:$A$505,A86),"Y","N"))</f>
        <v/>
      </c>
      <c r="AD86" s="15">
        <f>IF(A86="","",COUNTIF('Register'!$A$6:$A$505,A86))</f>
        <v/>
      </c>
      <c r="AE86" s="17" t="n"/>
      <c r="AF86" s="16" t="n"/>
      <c r="AG86" s="17" t="n"/>
      <c r="AH86" s="17" t="n"/>
      <c r="AI86" s="19">
        <f>IF(AE86="","",AE86+IF(AF86="",TA_NOC,AF86))</f>
        <v/>
      </c>
      <c r="AJ86" s="15">
        <f>IF(AE86="","",IF(AG86="",DATADATE,AG86)-AE86)</f>
        <v/>
      </c>
      <c r="AK86" s="15">
        <f>IF(OR(AI86="",AG86&lt;&gt;""),"",IF(DATADATE&gt;AI86,"OVERDUE",""))</f>
        <v/>
      </c>
      <c r="AL86" s="15">
        <f>IF(AH86="","",IF(AH86&lt;DATADATE,"EXPIRED",IF(AH86-DATADATE&lt;=WARN_EXP,"EXPIRING","")))</f>
        <v/>
      </c>
      <c r="AM86" s="16" t="n"/>
      <c r="AN86" s="16" t="n"/>
      <c r="AO86" s="16" t="n"/>
      <c r="AP86" s="16" t="n"/>
    </row>
    <row r="87">
      <c r="A87" s="15">
        <f>IF(AA87="","",PROJ&amp;"-NOC-"&amp;Z87&amp;"-"&amp;TEXT(AA87,"0000"))</f>
        <v/>
      </c>
      <c r="B87" s="15">
        <f>IF(AA87="","",PROJ)</f>
        <v/>
      </c>
      <c r="C87" s="16" t="n"/>
      <c r="D87" s="16" t="n"/>
      <c r="E87" s="16" t="n"/>
      <c r="F87" s="16" t="n"/>
      <c r="G87" s="16" t="n"/>
      <c r="H87" s="16" t="n"/>
      <c r="I87" s="16" t="n"/>
      <c r="J87" s="16" t="n"/>
      <c r="K87" s="16" t="n"/>
      <c r="L87" s="16" t="n"/>
      <c r="M87" s="16" t="n"/>
      <c r="N87" s="16" t="n"/>
      <c r="O87" s="17" t="n"/>
      <c r="P87" s="16" t="n"/>
      <c r="Q87" s="16" t="n"/>
      <c r="R87" s="16" t="n"/>
      <c r="S87" s="16" t="n"/>
      <c r="T87" s="16" t="n"/>
      <c r="U87" s="16" t="n"/>
      <c r="V87" s="16" t="n"/>
      <c r="W87" s="16" t="n"/>
      <c r="X87" s="16" t="n"/>
      <c r="Y87" s="16" t="n"/>
      <c r="Z87" s="16" t="n"/>
      <c r="AA87" s="16" t="n"/>
      <c r="AB87" s="18" t="n"/>
      <c r="AC87" s="15">
        <f>IF(A87="","",IF(AB87=_xlfn.MAXIFS('Register'!$AB$6:$AB$505,'Register'!$A$6:$A$505,A87),"Y","N"))</f>
        <v/>
      </c>
      <c r="AD87" s="15">
        <f>IF(A87="","",COUNTIF('Register'!$A$6:$A$505,A87))</f>
        <v/>
      </c>
      <c r="AE87" s="17" t="n"/>
      <c r="AF87" s="16" t="n"/>
      <c r="AG87" s="17" t="n"/>
      <c r="AH87" s="17" t="n"/>
      <c r="AI87" s="19">
        <f>IF(AE87="","",AE87+IF(AF87="",TA_NOC,AF87))</f>
        <v/>
      </c>
      <c r="AJ87" s="15">
        <f>IF(AE87="","",IF(AG87="",DATADATE,AG87)-AE87)</f>
        <v/>
      </c>
      <c r="AK87" s="15">
        <f>IF(OR(AI87="",AG87&lt;&gt;""),"",IF(DATADATE&gt;AI87,"OVERDUE",""))</f>
        <v/>
      </c>
      <c r="AL87" s="15">
        <f>IF(AH87="","",IF(AH87&lt;DATADATE,"EXPIRED",IF(AH87-DATADATE&lt;=WARN_EXP,"EXPIRING","")))</f>
        <v/>
      </c>
      <c r="AM87" s="16" t="n"/>
      <c r="AN87" s="16" t="n"/>
      <c r="AO87" s="16" t="n"/>
      <c r="AP87" s="16" t="n"/>
    </row>
    <row r="88">
      <c r="A88" s="15">
        <f>IF(AA88="","",PROJ&amp;"-NOC-"&amp;Z88&amp;"-"&amp;TEXT(AA88,"0000"))</f>
        <v/>
      </c>
      <c r="B88" s="15">
        <f>IF(AA88="","",PROJ)</f>
        <v/>
      </c>
      <c r="C88" s="16" t="n"/>
      <c r="D88" s="16" t="n"/>
      <c r="E88" s="16" t="n"/>
      <c r="F88" s="16" t="n"/>
      <c r="G88" s="16" t="n"/>
      <c r="H88" s="16" t="n"/>
      <c r="I88" s="16" t="n"/>
      <c r="J88" s="16" t="n"/>
      <c r="K88" s="16" t="n"/>
      <c r="L88" s="16" t="n"/>
      <c r="M88" s="16" t="n"/>
      <c r="N88" s="16" t="n"/>
      <c r="O88" s="17" t="n"/>
      <c r="P88" s="16" t="n"/>
      <c r="Q88" s="16" t="n"/>
      <c r="R88" s="16" t="n"/>
      <c r="S88" s="16" t="n"/>
      <c r="T88" s="16" t="n"/>
      <c r="U88" s="16" t="n"/>
      <c r="V88" s="16" t="n"/>
      <c r="W88" s="16" t="n"/>
      <c r="X88" s="16" t="n"/>
      <c r="Y88" s="16" t="n"/>
      <c r="Z88" s="16" t="n"/>
      <c r="AA88" s="16" t="n"/>
      <c r="AB88" s="18" t="n"/>
      <c r="AC88" s="15">
        <f>IF(A88="","",IF(AB88=_xlfn.MAXIFS('Register'!$AB$6:$AB$505,'Register'!$A$6:$A$505,A88),"Y","N"))</f>
        <v/>
      </c>
      <c r="AD88" s="15">
        <f>IF(A88="","",COUNTIF('Register'!$A$6:$A$505,A88))</f>
        <v/>
      </c>
      <c r="AE88" s="17" t="n"/>
      <c r="AF88" s="16" t="n"/>
      <c r="AG88" s="17" t="n"/>
      <c r="AH88" s="17" t="n"/>
      <c r="AI88" s="19">
        <f>IF(AE88="","",AE88+IF(AF88="",TA_NOC,AF88))</f>
        <v/>
      </c>
      <c r="AJ88" s="15">
        <f>IF(AE88="","",IF(AG88="",DATADATE,AG88)-AE88)</f>
        <v/>
      </c>
      <c r="AK88" s="15">
        <f>IF(OR(AI88="",AG88&lt;&gt;""),"",IF(DATADATE&gt;AI88,"OVERDUE",""))</f>
        <v/>
      </c>
      <c r="AL88" s="15">
        <f>IF(AH88="","",IF(AH88&lt;DATADATE,"EXPIRED",IF(AH88-DATADATE&lt;=WARN_EXP,"EXPIRING","")))</f>
        <v/>
      </c>
      <c r="AM88" s="16" t="n"/>
      <c r="AN88" s="16" t="n"/>
      <c r="AO88" s="16" t="n"/>
      <c r="AP88" s="16" t="n"/>
    </row>
    <row r="89">
      <c r="A89" s="15">
        <f>IF(AA89="","",PROJ&amp;"-NOC-"&amp;Z89&amp;"-"&amp;TEXT(AA89,"0000"))</f>
        <v/>
      </c>
      <c r="B89" s="15">
        <f>IF(AA89="","",PROJ)</f>
        <v/>
      </c>
      <c r="C89" s="16" t="n"/>
      <c r="D89" s="16" t="n"/>
      <c r="E89" s="16" t="n"/>
      <c r="F89" s="16" t="n"/>
      <c r="G89" s="16" t="n"/>
      <c r="H89" s="16" t="n"/>
      <c r="I89" s="16" t="n"/>
      <c r="J89" s="16" t="n"/>
      <c r="K89" s="16" t="n"/>
      <c r="L89" s="16" t="n"/>
      <c r="M89" s="16" t="n"/>
      <c r="N89" s="16" t="n"/>
      <c r="O89" s="17" t="n"/>
      <c r="P89" s="16" t="n"/>
      <c r="Q89" s="16" t="n"/>
      <c r="R89" s="16" t="n"/>
      <c r="S89" s="16" t="n"/>
      <c r="T89" s="16" t="n"/>
      <c r="U89" s="16" t="n"/>
      <c r="V89" s="16" t="n"/>
      <c r="W89" s="16" t="n"/>
      <c r="X89" s="16" t="n"/>
      <c r="Y89" s="16" t="n"/>
      <c r="Z89" s="16" t="n"/>
      <c r="AA89" s="16" t="n"/>
      <c r="AB89" s="18" t="n"/>
      <c r="AC89" s="15">
        <f>IF(A89="","",IF(AB89=_xlfn.MAXIFS('Register'!$AB$6:$AB$505,'Register'!$A$6:$A$505,A89),"Y","N"))</f>
        <v/>
      </c>
      <c r="AD89" s="15">
        <f>IF(A89="","",COUNTIF('Register'!$A$6:$A$505,A89))</f>
        <v/>
      </c>
      <c r="AE89" s="17" t="n"/>
      <c r="AF89" s="16" t="n"/>
      <c r="AG89" s="17" t="n"/>
      <c r="AH89" s="17" t="n"/>
      <c r="AI89" s="19">
        <f>IF(AE89="","",AE89+IF(AF89="",TA_NOC,AF89))</f>
        <v/>
      </c>
      <c r="AJ89" s="15">
        <f>IF(AE89="","",IF(AG89="",DATADATE,AG89)-AE89)</f>
        <v/>
      </c>
      <c r="AK89" s="15">
        <f>IF(OR(AI89="",AG89&lt;&gt;""),"",IF(DATADATE&gt;AI89,"OVERDUE",""))</f>
        <v/>
      </c>
      <c r="AL89" s="15">
        <f>IF(AH89="","",IF(AH89&lt;DATADATE,"EXPIRED",IF(AH89-DATADATE&lt;=WARN_EXP,"EXPIRING","")))</f>
        <v/>
      </c>
      <c r="AM89" s="16" t="n"/>
      <c r="AN89" s="16" t="n"/>
      <c r="AO89" s="16" t="n"/>
      <c r="AP89" s="16" t="n"/>
    </row>
    <row r="90">
      <c r="A90" s="15">
        <f>IF(AA90="","",PROJ&amp;"-NOC-"&amp;Z90&amp;"-"&amp;TEXT(AA90,"0000"))</f>
        <v/>
      </c>
      <c r="B90" s="15">
        <f>IF(AA90="","",PROJ)</f>
        <v/>
      </c>
      <c r="C90" s="16" t="n"/>
      <c r="D90" s="16" t="n"/>
      <c r="E90" s="16" t="n"/>
      <c r="F90" s="16" t="n"/>
      <c r="G90" s="16" t="n"/>
      <c r="H90" s="16" t="n"/>
      <c r="I90" s="16" t="n"/>
      <c r="J90" s="16" t="n"/>
      <c r="K90" s="16" t="n"/>
      <c r="L90" s="16" t="n"/>
      <c r="M90" s="16" t="n"/>
      <c r="N90" s="16" t="n"/>
      <c r="O90" s="17" t="n"/>
      <c r="P90" s="16" t="n"/>
      <c r="Q90" s="16" t="n"/>
      <c r="R90" s="16" t="n"/>
      <c r="S90" s="16" t="n"/>
      <c r="T90" s="16" t="n"/>
      <c r="U90" s="16" t="n"/>
      <c r="V90" s="16" t="n"/>
      <c r="W90" s="16" t="n"/>
      <c r="X90" s="16" t="n"/>
      <c r="Y90" s="16" t="n"/>
      <c r="Z90" s="16" t="n"/>
      <c r="AA90" s="16" t="n"/>
      <c r="AB90" s="18" t="n"/>
      <c r="AC90" s="15">
        <f>IF(A90="","",IF(AB90=_xlfn.MAXIFS('Register'!$AB$6:$AB$505,'Register'!$A$6:$A$505,A90),"Y","N"))</f>
        <v/>
      </c>
      <c r="AD90" s="15">
        <f>IF(A90="","",COUNTIF('Register'!$A$6:$A$505,A90))</f>
        <v/>
      </c>
      <c r="AE90" s="17" t="n"/>
      <c r="AF90" s="16" t="n"/>
      <c r="AG90" s="17" t="n"/>
      <c r="AH90" s="17" t="n"/>
      <c r="AI90" s="19">
        <f>IF(AE90="","",AE90+IF(AF90="",TA_NOC,AF90))</f>
        <v/>
      </c>
      <c r="AJ90" s="15">
        <f>IF(AE90="","",IF(AG90="",DATADATE,AG90)-AE90)</f>
        <v/>
      </c>
      <c r="AK90" s="15">
        <f>IF(OR(AI90="",AG90&lt;&gt;""),"",IF(DATADATE&gt;AI90,"OVERDUE",""))</f>
        <v/>
      </c>
      <c r="AL90" s="15">
        <f>IF(AH90="","",IF(AH90&lt;DATADATE,"EXPIRED",IF(AH90-DATADATE&lt;=WARN_EXP,"EXPIRING","")))</f>
        <v/>
      </c>
      <c r="AM90" s="16" t="n"/>
      <c r="AN90" s="16" t="n"/>
      <c r="AO90" s="16" t="n"/>
      <c r="AP90" s="16" t="n"/>
    </row>
    <row r="91">
      <c r="A91" s="15">
        <f>IF(AA91="","",PROJ&amp;"-NOC-"&amp;Z91&amp;"-"&amp;TEXT(AA91,"0000"))</f>
        <v/>
      </c>
      <c r="B91" s="15">
        <f>IF(AA91="","",PROJ)</f>
        <v/>
      </c>
      <c r="C91" s="16" t="n"/>
      <c r="D91" s="16" t="n"/>
      <c r="E91" s="16" t="n"/>
      <c r="F91" s="16" t="n"/>
      <c r="G91" s="16" t="n"/>
      <c r="H91" s="16" t="n"/>
      <c r="I91" s="16" t="n"/>
      <c r="J91" s="16" t="n"/>
      <c r="K91" s="16" t="n"/>
      <c r="L91" s="16" t="n"/>
      <c r="M91" s="16" t="n"/>
      <c r="N91" s="16" t="n"/>
      <c r="O91" s="17" t="n"/>
      <c r="P91" s="16" t="n"/>
      <c r="Q91" s="16" t="n"/>
      <c r="R91" s="16" t="n"/>
      <c r="S91" s="16" t="n"/>
      <c r="T91" s="16" t="n"/>
      <c r="U91" s="16" t="n"/>
      <c r="V91" s="16" t="n"/>
      <c r="W91" s="16" t="n"/>
      <c r="X91" s="16" t="n"/>
      <c r="Y91" s="16" t="n"/>
      <c r="Z91" s="16" t="n"/>
      <c r="AA91" s="16" t="n"/>
      <c r="AB91" s="18" t="n"/>
      <c r="AC91" s="15">
        <f>IF(A91="","",IF(AB91=_xlfn.MAXIFS('Register'!$AB$6:$AB$505,'Register'!$A$6:$A$505,A91),"Y","N"))</f>
        <v/>
      </c>
      <c r="AD91" s="15">
        <f>IF(A91="","",COUNTIF('Register'!$A$6:$A$505,A91))</f>
        <v/>
      </c>
      <c r="AE91" s="17" t="n"/>
      <c r="AF91" s="16" t="n"/>
      <c r="AG91" s="17" t="n"/>
      <c r="AH91" s="17" t="n"/>
      <c r="AI91" s="19">
        <f>IF(AE91="","",AE91+IF(AF91="",TA_NOC,AF91))</f>
        <v/>
      </c>
      <c r="AJ91" s="15">
        <f>IF(AE91="","",IF(AG91="",DATADATE,AG91)-AE91)</f>
        <v/>
      </c>
      <c r="AK91" s="15">
        <f>IF(OR(AI91="",AG91&lt;&gt;""),"",IF(DATADATE&gt;AI91,"OVERDUE",""))</f>
        <v/>
      </c>
      <c r="AL91" s="15">
        <f>IF(AH91="","",IF(AH91&lt;DATADATE,"EXPIRED",IF(AH91-DATADATE&lt;=WARN_EXP,"EXPIRING","")))</f>
        <v/>
      </c>
      <c r="AM91" s="16" t="n"/>
      <c r="AN91" s="16" t="n"/>
      <c r="AO91" s="16" t="n"/>
      <c r="AP91" s="16" t="n"/>
    </row>
    <row r="92">
      <c r="A92" s="15">
        <f>IF(AA92="","",PROJ&amp;"-NOC-"&amp;Z92&amp;"-"&amp;TEXT(AA92,"0000"))</f>
        <v/>
      </c>
      <c r="B92" s="15">
        <f>IF(AA92="","",PROJ)</f>
        <v/>
      </c>
      <c r="C92" s="16" t="n"/>
      <c r="D92" s="16" t="n"/>
      <c r="E92" s="16" t="n"/>
      <c r="F92" s="16" t="n"/>
      <c r="G92" s="16" t="n"/>
      <c r="H92" s="16" t="n"/>
      <c r="I92" s="16" t="n"/>
      <c r="J92" s="16" t="n"/>
      <c r="K92" s="16" t="n"/>
      <c r="L92" s="16" t="n"/>
      <c r="M92" s="16" t="n"/>
      <c r="N92" s="16" t="n"/>
      <c r="O92" s="17" t="n"/>
      <c r="P92" s="16" t="n"/>
      <c r="Q92" s="16" t="n"/>
      <c r="R92" s="16" t="n"/>
      <c r="S92" s="16" t="n"/>
      <c r="T92" s="16" t="n"/>
      <c r="U92" s="16" t="n"/>
      <c r="V92" s="16" t="n"/>
      <c r="W92" s="16" t="n"/>
      <c r="X92" s="16" t="n"/>
      <c r="Y92" s="16" t="n"/>
      <c r="Z92" s="16" t="n"/>
      <c r="AA92" s="16" t="n"/>
      <c r="AB92" s="18" t="n"/>
      <c r="AC92" s="15">
        <f>IF(A92="","",IF(AB92=_xlfn.MAXIFS('Register'!$AB$6:$AB$505,'Register'!$A$6:$A$505,A92),"Y","N"))</f>
        <v/>
      </c>
      <c r="AD92" s="15">
        <f>IF(A92="","",COUNTIF('Register'!$A$6:$A$505,A92))</f>
        <v/>
      </c>
      <c r="AE92" s="17" t="n"/>
      <c r="AF92" s="16" t="n"/>
      <c r="AG92" s="17" t="n"/>
      <c r="AH92" s="17" t="n"/>
      <c r="AI92" s="19">
        <f>IF(AE92="","",AE92+IF(AF92="",TA_NOC,AF92))</f>
        <v/>
      </c>
      <c r="AJ92" s="15">
        <f>IF(AE92="","",IF(AG92="",DATADATE,AG92)-AE92)</f>
        <v/>
      </c>
      <c r="AK92" s="15">
        <f>IF(OR(AI92="",AG92&lt;&gt;""),"",IF(DATADATE&gt;AI92,"OVERDUE",""))</f>
        <v/>
      </c>
      <c r="AL92" s="15">
        <f>IF(AH92="","",IF(AH92&lt;DATADATE,"EXPIRED",IF(AH92-DATADATE&lt;=WARN_EXP,"EXPIRING","")))</f>
        <v/>
      </c>
      <c r="AM92" s="16" t="n"/>
      <c r="AN92" s="16" t="n"/>
      <c r="AO92" s="16" t="n"/>
      <c r="AP92" s="16" t="n"/>
    </row>
    <row r="93">
      <c r="A93" s="15">
        <f>IF(AA93="","",PROJ&amp;"-NOC-"&amp;Z93&amp;"-"&amp;TEXT(AA93,"0000"))</f>
        <v/>
      </c>
      <c r="B93" s="15">
        <f>IF(AA93="","",PROJ)</f>
        <v/>
      </c>
      <c r="C93" s="16" t="n"/>
      <c r="D93" s="16" t="n"/>
      <c r="E93" s="16" t="n"/>
      <c r="F93" s="16" t="n"/>
      <c r="G93" s="16" t="n"/>
      <c r="H93" s="16" t="n"/>
      <c r="I93" s="16" t="n"/>
      <c r="J93" s="16" t="n"/>
      <c r="K93" s="16" t="n"/>
      <c r="L93" s="16" t="n"/>
      <c r="M93" s="16" t="n"/>
      <c r="N93" s="16" t="n"/>
      <c r="O93" s="17" t="n"/>
      <c r="P93" s="16" t="n"/>
      <c r="Q93" s="16" t="n"/>
      <c r="R93" s="16" t="n"/>
      <c r="S93" s="16" t="n"/>
      <c r="T93" s="16" t="n"/>
      <c r="U93" s="16" t="n"/>
      <c r="V93" s="16" t="n"/>
      <c r="W93" s="16" t="n"/>
      <c r="X93" s="16" t="n"/>
      <c r="Y93" s="16" t="n"/>
      <c r="Z93" s="16" t="n"/>
      <c r="AA93" s="16" t="n"/>
      <c r="AB93" s="18" t="n"/>
      <c r="AC93" s="15">
        <f>IF(A93="","",IF(AB93=_xlfn.MAXIFS('Register'!$AB$6:$AB$505,'Register'!$A$6:$A$505,A93),"Y","N"))</f>
        <v/>
      </c>
      <c r="AD93" s="15">
        <f>IF(A93="","",COUNTIF('Register'!$A$6:$A$505,A93))</f>
        <v/>
      </c>
      <c r="AE93" s="17" t="n"/>
      <c r="AF93" s="16" t="n"/>
      <c r="AG93" s="17" t="n"/>
      <c r="AH93" s="17" t="n"/>
      <c r="AI93" s="19">
        <f>IF(AE93="","",AE93+IF(AF93="",TA_NOC,AF93))</f>
        <v/>
      </c>
      <c r="AJ93" s="15">
        <f>IF(AE93="","",IF(AG93="",DATADATE,AG93)-AE93)</f>
        <v/>
      </c>
      <c r="AK93" s="15">
        <f>IF(OR(AI93="",AG93&lt;&gt;""),"",IF(DATADATE&gt;AI93,"OVERDUE",""))</f>
        <v/>
      </c>
      <c r="AL93" s="15">
        <f>IF(AH93="","",IF(AH93&lt;DATADATE,"EXPIRED",IF(AH93-DATADATE&lt;=WARN_EXP,"EXPIRING","")))</f>
        <v/>
      </c>
      <c r="AM93" s="16" t="n"/>
      <c r="AN93" s="16" t="n"/>
      <c r="AO93" s="16" t="n"/>
      <c r="AP93" s="16" t="n"/>
    </row>
    <row r="94">
      <c r="A94" s="15">
        <f>IF(AA94="","",PROJ&amp;"-NOC-"&amp;Z94&amp;"-"&amp;TEXT(AA94,"0000"))</f>
        <v/>
      </c>
      <c r="B94" s="15">
        <f>IF(AA94="","",PROJ)</f>
        <v/>
      </c>
      <c r="C94" s="16" t="n"/>
      <c r="D94" s="16" t="n"/>
      <c r="E94" s="16" t="n"/>
      <c r="F94" s="16" t="n"/>
      <c r="G94" s="16" t="n"/>
      <c r="H94" s="16" t="n"/>
      <c r="I94" s="16" t="n"/>
      <c r="J94" s="16" t="n"/>
      <c r="K94" s="16" t="n"/>
      <c r="L94" s="16" t="n"/>
      <c r="M94" s="16" t="n"/>
      <c r="N94" s="16" t="n"/>
      <c r="O94" s="17" t="n"/>
      <c r="P94" s="16" t="n"/>
      <c r="Q94" s="16" t="n"/>
      <c r="R94" s="16" t="n"/>
      <c r="S94" s="16" t="n"/>
      <c r="T94" s="16" t="n"/>
      <c r="U94" s="16" t="n"/>
      <c r="V94" s="16" t="n"/>
      <c r="W94" s="16" t="n"/>
      <c r="X94" s="16" t="n"/>
      <c r="Y94" s="16" t="n"/>
      <c r="Z94" s="16" t="n"/>
      <c r="AA94" s="16" t="n"/>
      <c r="AB94" s="18" t="n"/>
      <c r="AC94" s="15">
        <f>IF(A94="","",IF(AB94=_xlfn.MAXIFS('Register'!$AB$6:$AB$505,'Register'!$A$6:$A$505,A94),"Y","N"))</f>
        <v/>
      </c>
      <c r="AD94" s="15">
        <f>IF(A94="","",COUNTIF('Register'!$A$6:$A$505,A94))</f>
        <v/>
      </c>
      <c r="AE94" s="17" t="n"/>
      <c r="AF94" s="16" t="n"/>
      <c r="AG94" s="17" t="n"/>
      <c r="AH94" s="17" t="n"/>
      <c r="AI94" s="19">
        <f>IF(AE94="","",AE94+IF(AF94="",TA_NOC,AF94))</f>
        <v/>
      </c>
      <c r="AJ94" s="15">
        <f>IF(AE94="","",IF(AG94="",DATADATE,AG94)-AE94)</f>
        <v/>
      </c>
      <c r="AK94" s="15">
        <f>IF(OR(AI94="",AG94&lt;&gt;""),"",IF(DATADATE&gt;AI94,"OVERDUE",""))</f>
        <v/>
      </c>
      <c r="AL94" s="15">
        <f>IF(AH94="","",IF(AH94&lt;DATADATE,"EXPIRED",IF(AH94-DATADATE&lt;=WARN_EXP,"EXPIRING","")))</f>
        <v/>
      </c>
      <c r="AM94" s="16" t="n"/>
      <c r="AN94" s="16" t="n"/>
      <c r="AO94" s="16" t="n"/>
      <c r="AP94" s="16" t="n"/>
    </row>
    <row r="95">
      <c r="A95" s="15">
        <f>IF(AA95="","",PROJ&amp;"-NOC-"&amp;Z95&amp;"-"&amp;TEXT(AA95,"0000"))</f>
        <v/>
      </c>
      <c r="B95" s="15">
        <f>IF(AA95="","",PROJ)</f>
        <v/>
      </c>
      <c r="C95" s="16" t="n"/>
      <c r="D95" s="16" t="n"/>
      <c r="E95" s="16" t="n"/>
      <c r="F95" s="16" t="n"/>
      <c r="G95" s="16" t="n"/>
      <c r="H95" s="16" t="n"/>
      <c r="I95" s="16" t="n"/>
      <c r="J95" s="16" t="n"/>
      <c r="K95" s="16" t="n"/>
      <c r="L95" s="16" t="n"/>
      <c r="M95" s="16" t="n"/>
      <c r="N95" s="16" t="n"/>
      <c r="O95" s="17" t="n"/>
      <c r="P95" s="16" t="n"/>
      <c r="Q95" s="16" t="n"/>
      <c r="R95" s="16" t="n"/>
      <c r="S95" s="16" t="n"/>
      <c r="T95" s="16" t="n"/>
      <c r="U95" s="16" t="n"/>
      <c r="V95" s="16" t="n"/>
      <c r="W95" s="16" t="n"/>
      <c r="X95" s="16" t="n"/>
      <c r="Y95" s="16" t="n"/>
      <c r="Z95" s="16" t="n"/>
      <c r="AA95" s="16" t="n"/>
      <c r="AB95" s="18" t="n"/>
      <c r="AC95" s="15">
        <f>IF(A95="","",IF(AB95=_xlfn.MAXIFS('Register'!$AB$6:$AB$505,'Register'!$A$6:$A$505,A95),"Y","N"))</f>
        <v/>
      </c>
      <c r="AD95" s="15">
        <f>IF(A95="","",COUNTIF('Register'!$A$6:$A$505,A95))</f>
        <v/>
      </c>
      <c r="AE95" s="17" t="n"/>
      <c r="AF95" s="16" t="n"/>
      <c r="AG95" s="17" t="n"/>
      <c r="AH95" s="17" t="n"/>
      <c r="AI95" s="19">
        <f>IF(AE95="","",AE95+IF(AF95="",TA_NOC,AF95))</f>
        <v/>
      </c>
      <c r="AJ95" s="15">
        <f>IF(AE95="","",IF(AG95="",DATADATE,AG95)-AE95)</f>
        <v/>
      </c>
      <c r="AK95" s="15">
        <f>IF(OR(AI95="",AG95&lt;&gt;""),"",IF(DATADATE&gt;AI95,"OVERDUE",""))</f>
        <v/>
      </c>
      <c r="AL95" s="15">
        <f>IF(AH95="","",IF(AH95&lt;DATADATE,"EXPIRED",IF(AH95-DATADATE&lt;=WARN_EXP,"EXPIRING","")))</f>
        <v/>
      </c>
      <c r="AM95" s="16" t="n"/>
      <c r="AN95" s="16" t="n"/>
      <c r="AO95" s="16" t="n"/>
      <c r="AP95" s="16" t="n"/>
    </row>
    <row r="96">
      <c r="A96" s="15">
        <f>IF(AA96="","",PROJ&amp;"-NOC-"&amp;Z96&amp;"-"&amp;TEXT(AA96,"0000"))</f>
        <v/>
      </c>
      <c r="B96" s="15">
        <f>IF(AA96="","",PROJ)</f>
        <v/>
      </c>
      <c r="C96" s="16" t="n"/>
      <c r="D96" s="16" t="n"/>
      <c r="E96" s="16" t="n"/>
      <c r="F96" s="16" t="n"/>
      <c r="G96" s="16" t="n"/>
      <c r="H96" s="16" t="n"/>
      <c r="I96" s="16" t="n"/>
      <c r="J96" s="16" t="n"/>
      <c r="K96" s="16" t="n"/>
      <c r="L96" s="16" t="n"/>
      <c r="M96" s="16" t="n"/>
      <c r="N96" s="16" t="n"/>
      <c r="O96" s="17" t="n"/>
      <c r="P96" s="16" t="n"/>
      <c r="Q96" s="16" t="n"/>
      <c r="R96" s="16" t="n"/>
      <c r="S96" s="16" t="n"/>
      <c r="T96" s="16" t="n"/>
      <c r="U96" s="16" t="n"/>
      <c r="V96" s="16" t="n"/>
      <c r="W96" s="16" t="n"/>
      <c r="X96" s="16" t="n"/>
      <c r="Y96" s="16" t="n"/>
      <c r="Z96" s="16" t="n"/>
      <c r="AA96" s="16" t="n"/>
      <c r="AB96" s="18" t="n"/>
      <c r="AC96" s="15">
        <f>IF(A96="","",IF(AB96=_xlfn.MAXIFS('Register'!$AB$6:$AB$505,'Register'!$A$6:$A$505,A96),"Y","N"))</f>
        <v/>
      </c>
      <c r="AD96" s="15">
        <f>IF(A96="","",COUNTIF('Register'!$A$6:$A$505,A96))</f>
        <v/>
      </c>
      <c r="AE96" s="17" t="n"/>
      <c r="AF96" s="16" t="n"/>
      <c r="AG96" s="17" t="n"/>
      <c r="AH96" s="17" t="n"/>
      <c r="AI96" s="19">
        <f>IF(AE96="","",AE96+IF(AF96="",TA_NOC,AF96))</f>
        <v/>
      </c>
      <c r="AJ96" s="15">
        <f>IF(AE96="","",IF(AG96="",DATADATE,AG96)-AE96)</f>
        <v/>
      </c>
      <c r="AK96" s="15">
        <f>IF(OR(AI96="",AG96&lt;&gt;""),"",IF(DATADATE&gt;AI96,"OVERDUE",""))</f>
        <v/>
      </c>
      <c r="AL96" s="15">
        <f>IF(AH96="","",IF(AH96&lt;DATADATE,"EXPIRED",IF(AH96-DATADATE&lt;=WARN_EXP,"EXPIRING","")))</f>
        <v/>
      </c>
      <c r="AM96" s="16" t="n"/>
      <c r="AN96" s="16" t="n"/>
      <c r="AO96" s="16" t="n"/>
      <c r="AP96" s="16" t="n"/>
    </row>
    <row r="97">
      <c r="A97" s="15">
        <f>IF(AA97="","",PROJ&amp;"-NOC-"&amp;Z97&amp;"-"&amp;TEXT(AA97,"0000"))</f>
        <v/>
      </c>
      <c r="B97" s="15">
        <f>IF(AA97="","",PROJ)</f>
        <v/>
      </c>
      <c r="C97" s="16" t="n"/>
      <c r="D97" s="16" t="n"/>
      <c r="E97" s="16" t="n"/>
      <c r="F97" s="16" t="n"/>
      <c r="G97" s="16" t="n"/>
      <c r="H97" s="16" t="n"/>
      <c r="I97" s="16" t="n"/>
      <c r="J97" s="16" t="n"/>
      <c r="K97" s="16" t="n"/>
      <c r="L97" s="16" t="n"/>
      <c r="M97" s="16" t="n"/>
      <c r="N97" s="16" t="n"/>
      <c r="O97" s="17" t="n"/>
      <c r="P97" s="16" t="n"/>
      <c r="Q97" s="16" t="n"/>
      <c r="R97" s="16" t="n"/>
      <c r="S97" s="16" t="n"/>
      <c r="T97" s="16" t="n"/>
      <c r="U97" s="16" t="n"/>
      <c r="V97" s="16" t="n"/>
      <c r="W97" s="16" t="n"/>
      <c r="X97" s="16" t="n"/>
      <c r="Y97" s="16" t="n"/>
      <c r="Z97" s="16" t="n"/>
      <c r="AA97" s="16" t="n"/>
      <c r="AB97" s="18" t="n"/>
      <c r="AC97" s="15">
        <f>IF(A97="","",IF(AB97=_xlfn.MAXIFS('Register'!$AB$6:$AB$505,'Register'!$A$6:$A$505,A97),"Y","N"))</f>
        <v/>
      </c>
      <c r="AD97" s="15">
        <f>IF(A97="","",COUNTIF('Register'!$A$6:$A$505,A97))</f>
        <v/>
      </c>
      <c r="AE97" s="17" t="n"/>
      <c r="AF97" s="16" t="n"/>
      <c r="AG97" s="17" t="n"/>
      <c r="AH97" s="17" t="n"/>
      <c r="AI97" s="19">
        <f>IF(AE97="","",AE97+IF(AF97="",TA_NOC,AF97))</f>
        <v/>
      </c>
      <c r="AJ97" s="15">
        <f>IF(AE97="","",IF(AG97="",DATADATE,AG97)-AE97)</f>
        <v/>
      </c>
      <c r="AK97" s="15">
        <f>IF(OR(AI97="",AG97&lt;&gt;""),"",IF(DATADATE&gt;AI97,"OVERDUE",""))</f>
        <v/>
      </c>
      <c r="AL97" s="15">
        <f>IF(AH97="","",IF(AH97&lt;DATADATE,"EXPIRED",IF(AH97-DATADATE&lt;=WARN_EXP,"EXPIRING","")))</f>
        <v/>
      </c>
      <c r="AM97" s="16" t="n"/>
      <c r="AN97" s="16" t="n"/>
      <c r="AO97" s="16" t="n"/>
      <c r="AP97" s="16" t="n"/>
    </row>
    <row r="98">
      <c r="A98" s="15">
        <f>IF(AA98="","",PROJ&amp;"-NOC-"&amp;Z98&amp;"-"&amp;TEXT(AA98,"0000"))</f>
        <v/>
      </c>
      <c r="B98" s="15">
        <f>IF(AA98="","",PROJ)</f>
        <v/>
      </c>
      <c r="C98" s="16" t="n"/>
      <c r="D98" s="16" t="n"/>
      <c r="E98" s="16" t="n"/>
      <c r="F98" s="16" t="n"/>
      <c r="G98" s="16" t="n"/>
      <c r="H98" s="16" t="n"/>
      <c r="I98" s="16" t="n"/>
      <c r="J98" s="16" t="n"/>
      <c r="K98" s="16" t="n"/>
      <c r="L98" s="16" t="n"/>
      <c r="M98" s="16" t="n"/>
      <c r="N98" s="16" t="n"/>
      <c r="O98" s="17" t="n"/>
      <c r="P98" s="16" t="n"/>
      <c r="Q98" s="16" t="n"/>
      <c r="R98" s="16" t="n"/>
      <c r="S98" s="16" t="n"/>
      <c r="T98" s="16" t="n"/>
      <c r="U98" s="16" t="n"/>
      <c r="V98" s="16" t="n"/>
      <c r="W98" s="16" t="n"/>
      <c r="X98" s="16" t="n"/>
      <c r="Y98" s="16" t="n"/>
      <c r="Z98" s="16" t="n"/>
      <c r="AA98" s="16" t="n"/>
      <c r="AB98" s="18" t="n"/>
      <c r="AC98" s="15">
        <f>IF(A98="","",IF(AB98=_xlfn.MAXIFS('Register'!$AB$6:$AB$505,'Register'!$A$6:$A$505,A98),"Y","N"))</f>
        <v/>
      </c>
      <c r="AD98" s="15">
        <f>IF(A98="","",COUNTIF('Register'!$A$6:$A$505,A98))</f>
        <v/>
      </c>
      <c r="AE98" s="17" t="n"/>
      <c r="AF98" s="16" t="n"/>
      <c r="AG98" s="17" t="n"/>
      <c r="AH98" s="17" t="n"/>
      <c r="AI98" s="19">
        <f>IF(AE98="","",AE98+IF(AF98="",TA_NOC,AF98))</f>
        <v/>
      </c>
      <c r="AJ98" s="15">
        <f>IF(AE98="","",IF(AG98="",DATADATE,AG98)-AE98)</f>
        <v/>
      </c>
      <c r="AK98" s="15">
        <f>IF(OR(AI98="",AG98&lt;&gt;""),"",IF(DATADATE&gt;AI98,"OVERDUE",""))</f>
        <v/>
      </c>
      <c r="AL98" s="15">
        <f>IF(AH98="","",IF(AH98&lt;DATADATE,"EXPIRED",IF(AH98-DATADATE&lt;=WARN_EXP,"EXPIRING","")))</f>
        <v/>
      </c>
      <c r="AM98" s="16" t="n"/>
      <c r="AN98" s="16" t="n"/>
      <c r="AO98" s="16" t="n"/>
      <c r="AP98" s="16" t="n"/>
    </row>
    <row r="99">
      <c r="A99" s="15">
        <f>IF(AA99="","",PROJ&amp;"-NOC-"&amp;Z99&amp;"-"&amp;TEXT(AA99,"0000"))</f>
        <v/>
      </c>
      <c r="B99" s="15">
        <f>IF(AA99="","",PROJ)</f>
        <v/>
      </c>
      <c r="C99" s="16" t="n"/>
      <c r="D99" s="16" t="n"/>
      <c r="E99" s="16" t="n"/>
      <c r="F99" s="16" t="n"/>
      <c r="G99" s="16" t="n"/>
      <c r="H99" s="16" t="n"/>
      <c r="I99" s="16" t="n"/>
      <c r="J99" s="16" t="n"/>
      <c r="K99" s="16" t="n"/>
      <c r="L99" s="16" t="n"/>
      <c r="M99" s="16" t="n"/>
      <c r="N99" s="16" t="n"/>
      <c r="O99" s="17" t="n"/>
      <c r="P99" s="16" t="n"/>
      <c r="Q99" s="16" t="n"/>
      <c r="R99" s="16" t="n"/>
      <c r="S99" s="16" t="n"/>
      <c r="T99" s="16" t="n"/>
      <c r="U99" s="16" t="n"/>
      <c r="V99" s="16" t="n"/>
      <c r="W99" s="16" t="n"/>
      <c r="X99" s="16" t="n"/>
      <c r="Y99" s="16" t="n"/>
      <c r="Z99" s="16" t="n"/>
      <c r="AA99" s="16" t="n"/>
      <c r="AB99" s="18" t="n"/>
      <c r="AC99" s="15">
        <f>IF(A99="","",IF(AB99=_xlfn.MAXIFS('Register'!$AB$6:$AB$505,'Register'!$A$6:$A$505,A99),"Y","N"))</f>
        <v/>
      </c>
      <c r="AD99" s="15">
        <f>IF(A99="","",COUNTIF('Register'!$A$6:$A$505,A99))</f>
        <v/>
      </c>
      <c r="AE99" s="17" t="n"/>
      <c r="AF99" s="16" t="n"/>
      <c r="AG99" s="17" t="n"/>
      <c r="AH99" s="17" t="n"/>
      <c r="AI99" s="19">
        <f>IF(AE99="","",AE99+IF(AF99="",TA_NOC,AF99))</f>
        <v/>
      </c>
      <c r="AJ99" s="15">
        <f>IF(AE99="","",IF(AG99="",DATADATE,AG99)-AE99)</f>
        <v/>
      </c>
      <c r="AK99" s="15">
        <f>IF(OR(AI99="",AG99&lt;&gt;""),"",IF(DATADATE&gt;AI99,"OVERDUE",""))</f>
        <v/>
      </c>
      <c r="AL99" s="15">
        <f>IF(AH99="","",IF(AH99&lt;DATADATE,"EXPIRED",IF(AH99-DATADATE&lt;=WARN_EXP,"EXPIRING","")))</f>
        <v/>
      </c>
      <c r="AM99" s="16" t="n"/>
      <c r="AN99" s="16" t="n"/>
      <c r="AO99" s="16" t="n"/>
      <c r="AP99" s="16" t="n"/>
    </row>
    <row r="100">
      <c r="A100" s="15">
        <f>IF(AA100="","",PROJ&amp;"-NOC-"&amp;Z100&amp;"-"&amp;TEXT(AA100,"0000"))</f>
        <v/>
      </c>
      <c r="B100" s="15">
        <f>IF(AA100="","",PROJ)</f>
        <v/>
      </c>
      <c r="C100" s="16" t="n"/>
      <c r="D100" s="16" t="n"/>
      <c r="E100" s="16" t="n"/>
      <c r="F100" s="16" t="n"/>
      <c r="G100" s="16" t="n"/>
      <c r="H100" s="16" t="n"/>
      <c r="I100" s="16" t="n"/>
      <c r="J100" s="16" t="n"/>
      <c r="K100" s="16" t="n"/>
      <c r="L100" s="16" t="n"/>
      <c r="M100" s="16" t="n"/>
      <c r="N100" s="16" t="n"/>
      <c r="O100" s="17" t="n"/>
      <c r="P100" s="16" t="n"/>
      <c r="Q100" s="16" t="n"/>
      <c r="R100" s="16" t="n"/>
      <c r="S100" s="16" t="n"/>
      <c r="T100" s="16" t="n"/>
      <c r="U100" s="16" t="n"/>
      <c r="V100" s="16" t="n"/>
      <c r="W100" s="16" t="n"/>
      <c r="X100" s="16" t="n"/>
      <c r="Y100" s="16" t="n"/>
      <c r="Z100" s="16" t="n"/>
      <c r="AA100" s="16" t="n"/>
      <c r="AB100" s="18" t="n"/>
      <c r="AC100" s="15">
        <f>IF(A100="","",IF(AB100=_xlfn.MAXIFS('Register'!$AB$6:$AB$505,'Register'!$A$6:$A$505,A100),"Y","N"))</f>
        <v/>
      </c>
      <c r="AD100" s="15">
        <f>IF(A100="","",COUNTIF('Register'!$A$6:$A$505,A100))</f>
        <v/>
      </c>
      <c r="AE100" s="17" t="n"/>
      <c r="AF100" s="16" t="n"/>
      <c r="AG100" s="17" t="n"/>
      <c r="AH100" s="17" t="n"/>
      <c r="AI100" s="19">
        <f>IF(AE100="","",AE100+IF(AF100="",TA_NOC,AF100))</f>
        <v/>
      </c>
      <c r="AJ100" s="15">
        <f>IF(AE100="","",IF(AG100="",DATADATE,AG100)-AE100)</f>
        <v/>
      </c>
      <c r="AK100" s="15">
        <f>IF(OR(AI100="",AG100&lt;&gt;""),"",IF(DATADATE&gt;AI100,"OVERDUE",""))</f>
        <v/>
      </c>
      <c r="AL100" s="15">
        <f>IF(AH100="","",IF(AH100&lt;DATADATE,"EXPIRED",IF(AH100-DATADATE&lt;=WARN_EXP,"EXPIRING","")))</f>
        <v/>
      </c>
      <c r="AM100" s="16" t="n"/>
      <c r="AN100" s="16" t="n"/>
      <c r="AO100" s="16" t="n"/>
      <c r="AP100" s="16" t="n"/>
    </row>
    <row r="101">
      <c r="A101" s="15">
        <f>IF(AA101="","",PROJ&amp;"-NOC-"&amp;Z101&amp;"-"&amp;TEXT(AA101,"0000"))</f>
        <v/>
      </c>
      <c r="B101" s="15">
        <f>IF(AA101="","",PROJ)</f>
        <v/>
      </c>
      <c r="C101" s="16" t="n"/>
      <c r="D101" s="16" t="n"/>
      <c r="E101" s="16" t="n"/>
      <c r="F101" s="16" t="n"/>
      <c r="G101" s="16" t="n"/>
      <c r="H101" s="16" t="n"/>
      <c r="I101" s="16" t="n"/>
      <c r="J101" s="16" t="n"/>
      <c r="K101" s="16" t="n"/>
      <c r="L101" s="16" t="n"/>
      <c r="M101" s="16" t="n"/>
      <c r="N101" s="16" t="n"/>
      <c r="O101" s="17" t="n"/>
      <c r="P101" s="16" t="n"/>
      <c r="Q101" s="16" t="n"/>
      <c r="R101" s="16" t="n"/>
      <c r="S101" s="16" t="n"/>
      <c r="T101" s="16" t="n"/>
      <c r="U101" s="16" t="n"/>
      <c r="V101" s="16" t="n"/>
      <c r="W101" s="16" t="n"/>
      <c r="X101" s="16" t="n"/>
      <c r="Y101" s="16" t="n"/>
      <c r="Z101" s="16" t="n"/>
      <c r="AA101" s="16" t="n"/>
      <c r="AB101" s="18" t="n"/>
      <c r="AC101" s="15">
        <f>IF(A101="","",IF(AB101=_xlfn.MAXIFS('Register'!$AB$6:$AB$505,'Register'!$A$6:$A$505,A101),"Y","N"))</f>
        <v/>
      </c>
      <c r="AD101" s="15">
        <f>IF(A101="","",COUNTIF('Register'!$A$6:$A$505,A101))</f>
        <v/>
      </c>
      <c r="AE101" s="17" t="n"/>
      <c r="AF101" s="16" t="n"/>
      <c r="AG101" s="17" t="n"/>
      <c r="AH101" s="17" t="n"/>
      <c r="AI101" s="19">
        <f>IF(AE101="","",AE101+IF(AF101="",TA_NOC,AF101))</f>
        <v/>
      </c>
      <c r="AJ101" s="15">
        <f>IF(AE101="","",IF(AG101="",DATADATE,AG101)-AE101)</f>
        <v/>
      </c>
      <c r="AK101" s="15">
        <f>IF(OR(AI101="",AG101&lt;&gt;""),"",IF(DATADATE&gt;AI101,"OVERDUE",""))</f>
        <v/>
      </c>
      <c r="AL101" s="15">
        <f>IF(AH101="","",IF(AH101&lt;DATADATE,"EXPIRED",IF(AH101-DATADATE&lt;=WARN_EXP,"EXPIRING","")))</f>
        <v/>
      </c>
      <c r="AM101" s="16" t="n"/>
      <c r="AN101" s="16" t="n"/>
      <c r="AO101" s="16" t="n"/>
      <c r="AP101" s="16" t="n"/>
    </row>
    <row r="102">
      <c r="A102" s="15">
        <f>IF(AA102="","",PROJ&amp;"-NOC-"&amp;Z102&amp;"-"&amp;TEXT(AA102,"0000"))</f>
        <v/>
      </c>
      <c r="B102" s="15">
        <f>IF(AA102="","",PROJ)</f>
        <v/>
      </c>
      <c r="C102" s="16" t="n"/>
      <c r="D102" s="16" t="n"/>
      <c r="E102" s="16" t="n"/>
      <c r="F102" s="16" t="n"/>
      <c r="G102" s="16" t="n"/>
      <c r="H102" s="16" t="n"/>
      <c r="I102" s="16" t="n"/>
      <c r="J102" s="16" t="n"/>
      <c r="K102" s="16" t="n"/>
      <c r="L102" s="16" t="n"/>
      <c r="M102" s="16" t="n"/>
      <c r="N102" s="16" t="n"/>
      <c r="O102" s="17" t="n"/>
      <c r="P102" s="16" t="n"/>
      <c r="Q102" s="16" t="n"/>
      <c r="R102" s="16" t="n"/>
      <c r="S102" s="16" t="n"/>
      <c r="T102" s="16" t="n"/>
      <c r="U102" s="16" t="n"/>
      <c r="V102" s="16" t="n"/>
      <c r="W102" s="16" t="n"/>
      <c r="X102" s="16" t="n"/>
      <c r="Y102" s="16" t="n"/>
      <c r="Z102" s="16" t="n"/>
      <c r="AA102" s="16" t="n"/>
      <c r="AB102" s="18" t="n"/>
      <c r="AC102" s="15">
        <f>IF(A102="","",IF(AB102=_xlfn.MAXIFS('Register'!$AB$6:$AB$505,'Register'!$A$6:$A$505,A102),"Y","N"))</f>
        <v/>
      </c>
      <c r="AD102" s="15">
        <f>IF(A102="","",COUNTIF('Register'!$A$6:$A$505,A102))</f>
        <v/>
      </c>
      <c r="AE102" s="17" t="n"/>
      <c r="AF102" s="16" t="n"/>
      <c r="AG102" s="17" t="n"/>
      <c r="AH102" s="17" t="n"/>
      <c r="AI102" s="19">
        <f>IF(AE102="","",AE102+IF(AF102="",TA_NOC,AF102))</f>
        <v/>
      </c>
      <c r="AJ102" s="15">
        <f>IF(AE102="","",IF(AG102="",DATADATE,AG102)-AE102)</f>
        <v/>
      </c>
      <c r="AK102" s="15">
        <f>IF(OR(AI102="",AG102&lt;&gt;""),"",IF(DATADATE&gt;AI102,"OVERDUE",""))</f>
        <v/>
      </c>
      <c r="AL102" s="15">
        <f>IF(AH102="","",IF(AH102&lt;DATADATE,"EXPIRED",IF(AH102-DATADATE&lt;=WARN_EXP,"EXPIRING","")))</f>
        <v/>
      </c>
      <c r="AM102" s="16" t="n"/>
      <c r="AN102" s="16" t="n"/>
      <c r="AO102" s="16" t="n"/>
      <c r="AP102" s="16" t="n"/>
    </row>
    <row r="103">
      <c r="A103" s="15">
        <f>IF(AA103="","",PROJ&amp;"-NOC-"&amp;Z103&amp;"-"&amp;TEXT(AA103,"0000"))</f>
        <v/>
      </c>
      <c r="B103" s="15">
        <f>IF(AA103="","",PROJ)</f>
        <v/>
      </c>
      <c r="C103" s="16" t="n"/>
      <c r="D103" s="16" t="n"/>
      <c r="E103" s="16" t="n"/>
      <c r="F103" s="16" t="n"/>
      <c r="G103" s="16" t="n"/>
      <c r="H103" s="16" t="n"/>
      <c r="I103" s="16" t="n"/>
      <c r="J103" s="16" t="n"/>
      <c r="K103" s="16" t="n"/>
      <c r="L103" s="16" t="n"/>
      <c r="M103" s="16" t="n"/>
      <c r="N103" s="16" t="n"/>
      <c r="O103" s="17" t="n"/>
      <c r="P103" s="16" t="n"/>
      <c r="Q103" s="16" t="n"/>
      <c r="R103" s="16" t="n"/>
      <c r="S103" s="16" t="n"/>
      <c r="T103" s="16" t="n"/>
      <c r="U103" s="16" t="n"/>
      <c r="V103" s="16" t="n"/>
      <c r="W103" s="16" t="n"/>
      <c r="X103" s="16" t="n"/>
      <c r="Y103" s="16" t="n"/>
      <c r="Z103" s="16" t="n"/>
      <c r="AA103" s="16" t="n"/>
      <c r="AB103" s="18" t="n"/>
      <c r="AC103" s="15">
        <f>IF(A103="","",IF(AB103=_xlfn.MAXIFS('Register'!$AB$6:$AB$505,'Register'!$A$6:$A$505,A103),"Y","N"))</f>
        <v/>
      </c>
      <c r="AD103" s="15">
        <f>IF(A103="","",COUNTIF('Register'!$A$6:$A$505,A103))</f>
        <v/>
      </c>
      <c r="AE103" s="17" t="n"/>
      <c r="AF103" s="16" t="n"/>
      <c r="AG103" s="17" t="n"/>
      <c r="AH103" s="17" t="n"/>
      <c r="AI103" s="19">
        <f>IF(AE103="","",AE103+IF(AF103="",TA_NOC,AF103))</f>
        <v/>
      </c>
      <c r="AJ103" s="15">
        <f>IF(AE103="","",IF(AG103="",DATADATE,AG103)-AE103)</f>
        <v/>
      </c>
      <c r="AK103" s="15">
        <f>IF(OR(AI103="",AG103&lt;&gt;""),"",IF(DATADATE&gt;AI103,"OVERDUE",""))</f>
        <v/>
      </c>
      <c r="AL103" s="15">
        <f>IF(AH103="","",IF(AH103&lt;DATADATE,"EXPIRED",IF(AH103-DATADATE&lt;=WARN_EXP,"EXPIRING","")))</f>
        <v/>
      </c>
      <c r="AM103" s="16" t="n"/>
      <c r="AN103" s="16" t="n"/>
      <c r="AO103" s="16" t="n"/>
      <c r="AP103" s="16" t="n"/>
    </row>
    <row r="104">
      <c r="A104" s="15">
        <f>IF(AA104="","",PROJ&amp;"-NOC-"&amp;Z104&amp;"-"&amp;TEXT(AA104,"0000"))</f>
        <v/>
      </c>
      <c r="B104" s="15">
        <f>IF(AA104="","",PROJ)</f>
        <v/>
      </c>
      <c r="C104" s="16" t="n"/>
      <c r="D104" s="16" t="n"/>
      <c r="E104" s="16" t="n"/>
      <c r="F104" s="16" t="n"/>
      <c r="G104" s="16" t="n"/>
      <c r="H104" s="16" t="n"/>
      <c r="I104" s="16" t="n"/>
      <c r="J104" s="16" t="n"/>
      <c r="K104" s="16" t="n"/>
      <c r="L104" s="16" t="n"/>
      <c r="M104" s="16" t="n"/>
      <c r="N104" s="16" t="n"/>
      <c r="O104" s="17" t="n"/>
      <c r="P104" s="16" t="n"/>
      <c r="Q104" s="16" t="n"/>
      <c r="R104" s="16" t="n"/>
      <c r="S104" s="16" t="n"/>
      <c r="T104" s="16" t="n"/>
      <c r="U104" s="16" t="n"/>
      <c r="V104" s="16" t="n"/>
      <c r="W104" s="16" t="n"/>
      <c r="X104" s="16" t="n"/>
      <c r="Y104" s="16" t="n"/>
      <c r="Z104" s="16" t="n"/>
      <c r="AA104" s="16" t="n"/>
      <c r="AB104" s="18" t="n"/>
      <c r="AC104" s="15">
        <f>IF(A104="","",IF(AB104=_xlfn.MAXIFS('Register'!$AB$6:$AB$505,'Register'!$A$6:$A$505,A104),"Y","N"))</f>
        <v/>
      </c>
      <c r="AD104" s="15">
        <f>IF(A104="","",COUNTIF('Register'!$A$6:$A$505,A104))</f>
        <v/>
      </c>
      <c r="AE104" s="17" t="n"/>
      <c r="AF104" s="16" t="n"/>
      <c r="AG104" s="17" t="n"/>
      <c r="AH104" s="17" t="n"/>
      <c r="AI104" s="19">
        <f>IF(AE104="","",AE104+IF(AF104="",TA_NOC,AF104))</f>
        <v/>
      </c>
      <c r="AJ104" s="15">
        <f>IF(AE104="","",IF(AG104="",DATADATE,AG104)-AE104)</f>
        <v/>
      </c>
      <c r="AK104" s="15">
        <f>IF(OR(AI104="",AG104&lt;&gt;""),"",IF(DATADATE&gt;AI104,"OVERDUE",""))</f>
        <v/>
      </c>
      <c r="AL104" s="15">
        <f>IF(AH104="","",IF(AH104&lt;DATADATE,"EXPIRED",IF(AH104-DATADATE&lt;=WARN_EXP,"EXPIRING","")))</f>
        <v/>
      </c>
      <c r="AM104" s="16" t="n"/>
      <c r="AN104" s="16" t="n"/>
      <c r="AO104" s="16" t="n"/>
      <c r="AP104" s="16" t="n"/>
    </row>
    <row r="105">
      <c r="A105" s="15">
        <f>IF(AA105="","",PROJ&amp;"-NOC-"&amp;Z105&amp;"-"&amp;TEXT(AA105,"0000"))</f>
        <v/>
      </c>
      <c r="B105" s="15">
        <f>IF(AA105="","",PROJ)</f>
        <v/>
      </c>
      <c r="C105" s="16" t="n"/>
      <c r="D105" s="16" t="n"/>
      <c r="E105" s="16" t="n"/>
      <c r="F105" s="16" t="n"/>
      <c r="G105" s="16" t="n"/>
      <c r="H105" s="16" t="n"/>
      <c r="I105" s="16" t="n"/>
      <c r="J105" s="16" t="n"/>
      <c r="K105" s="16" t="n"/>
      <c r="L105" s="16" t="n"/>
      <c r="M105" s="16" t="n"/>
      <c r="N105" s="16" t="n"/>
      <c r="O105" s="17" t="n"/>
      <c r="P105" s="16" t="n"/>
      <c r="Q105" s="16" t="n"/>
      <c r="R105" s="16" t="n"/>
      <c r="S105" s="16" t="n"/>
      <c r="T105" s="16" t="n"/>
      <c r="U105" s="16" t="n"/>
      <c r="V105" s="16" t="n"/>
      <c r="W105" s="16" t="n"/>
      <c r="X105" s="16" t="n"/>
      <c r="Y105" s="16" t="n"/>
      <c r="Z105" s="16" t="n"/>
      <c r="AA105" s="16" t="n"/>
      <c r="AB105" s="18" t="n"/>
      <c r="AC105" s="15">
        <f>IF(A105="","",IF(AB105=_xlfn.MAXIFS('Register'!$AB$6:$AB$505,'Register'!$A$6:$A$505,A105),"Y","N"))</f>
        <v/>
      </c>
      <c r="AD105" s="15">
        <f>IF(A105="","",COUNTIF('Register'!$A$6:$A$505,A105))</f>
        <v/>
      </c>
      <c r="AE105" s="17" t="n"/>
      <c r="AF105" s="16" t="n"/>
      <c r="AG105" s="17" t="n"/>
      <c r="AH105" s="17" t="n"/>
      <c r="AI105" s="19">
        <f>IF(AE105="","",AE105+IF(AF105="",TA_NOC,AF105))</f>
        <v/>
      </c>
      <c r="AJ105" s="15">
        <f>IF(AE105="","",IF(AG105="",DATADATE,AG105)-AE105)</f>
        <v/>
      </c>
      <c r="AK105" s="15">
        <f>IF(OR(AI105="",AG105&lt;&gt;""),"",IF(DATADATE&gt;AI105,"OVERDUE",""))</f>
        <v/>
      </c>
      <c r="AL105" s="15">
        <f>IF(AH105="","",IF(AH105&lt;DATADATE,"EXPIRED",IF(AH105-DATADATE&lt;=WARN_EXP,"EXPIRING","")))</f>
        <v/>
      </c>
      <c r="AM105" s="16" t="n"/>
      <c r="AN105" s="16" t="n"/>
      <c r="AO105" s="16" t="n"/>
      <c r="AP105" s="16" t="n"/>
    </row>
    <row r="106">
      <c r="A106" s="15">
        <f>IF(AA106="","",PROJ&amp;"-NOC-"&amp;Z106&amp;"-"&amp;TEXT(AA106,"0000"))</f>
        <v/>
      </c>
      <c r="B106" s="15">
        <f>IF(AA106="","",PROJ)</f>
        <v/>
      </c>
      <c r="C106" s="16" t="n"/>
      <c r="D106" s="16" t="n"/>
      <c r="E106" s="16" t="n"/>
      <c r="F106" s="16" t="n"/>
      <c r="G106" s="16" t="n"/>
      <c r="H106" s="16" t="n"/>
      <c r="I106" s="16" t="n"/>
      <c r="J106" s="16" t="n"/>
      <c r="K106" s="16" t="n"/>
      <c r="L106" s="16" t="n"/>
      <c r="M106" s="16" t="n"/>
      <c r="N106" s="16" t="n"/>
      <c r="O106" s="17" t="n"/>
      <c r="P106" s="16" t="n"/>
      <c r="Q106" s="16" t="n"/>
      <c r="R106" s="16" t="n"/>
      <c r="S106" s="16" t="n"/>
      <c r="T106" s="16" t="n"/>
      <c r="U106" s="16" t="n"/>
      <c r="V106" s="16" t="n"/>
      <c r="W106" s="16" t="n"/>
      <c r="X106" s="16" t="n"/>
      <c r="Y106" s="16" t="n"/>
      <c r="Z106" s="16" t="n"/>
      <c r="AA106" s="16" t="n"/>
      <c r="AB106" s="18" t="n"/>
      <c r="AC106" s="15">
        <f>IF(A106="","",IF(AB106=_xlfn.MAXIFS('Register'!$AB$6:$AB$505,'Register'!$A$6:$A$505,A106),"Y","N"))</f>
        <v/>
      </c>
      <c r="AD106" s="15">
        <f>IF(A106="","",COUNTIF('Register'!$A$6:$A$505,A106))</f>
        <v/>
      </c>
      <c r="AE106" s="17" t="n"/>
      <c r="AF106" s="16" t="n"/>
      <c r="AG106" s="17" t="n"/>
      <c r="AH106" s="17" t="n"/>
      <c r="AI106" s="19">
        <f>IF(AE106="","",AE106+IF(AF106="",TA_NOC,AF106))</f>
        <v/>
      </c>
      <c r="AJ106" s="15">
        <f>IF(AE106="","",IF(AG106="",DATADATE,AG106)-AE106)</f>
        <v/>
      </c>
      <c r="AK106" s="15">
        <f>IF(OR(AI106="",AG106&lt;&gt;""),"",IF(DATADATE&gt;AI106,"OVERDUE",""))</f>
        <v/>
      </c>
      <c r="AL106" s="15">
        <f>IF(AH106="","",IF(AH106&lt;DATADATE,"EXPIRED",IF(AH106-DATADATE&lt;=WARN_EXP,"EXPIRING","")))</f>
        <v/>
      </c>
      <c r="AM106" s="16" t="n"/>
      <c r="AN106" s="16" t="n"/>
      <c r="AO106" s="16" t="n"/>
      <c r="AP106" s="16" t="n"/>
    </row>
    <row r="107">
      <c r="A107" s="15">
        <f>IF(AA107="","",PROJ&amp;"-NOC-"&amp;Z107&amp;"-"&amp;TEXT(AA107,"0000"))</f>
        <v/>
      </c>
      <c r="B107" s="15">
        <f>IF(AA107="","",PROJ)</f>
        <v/>
      </c>
      <c r="C107" s="16" t="n"/>
      <c r="D107" s="16" t="n"/>
      <c r="E107" s="16" t="n"/>
      <c r="F107" s="16" t="n"/>
      <c r="G107" s="16" t="n"/>
      <c r="H107" s="16" t="n"/>
      <c r="I107" s="16" t="n"/>
      <c r="J107" s="16" t="n"/>
      <c r="K107" s="16" t="n"/>
      <c r="L107" s="16" t="n"/>
      <c r="M107" s="16" t="n"/>
      <c r="N107" s="16" t="n"/>
      <c r="O107" s="17" t="n"/>
      <c r="P107" s="16" t="n"/>
      <c r="Q107" s="16" t="n"/>
      <c r="R107" s="16" t="n"/>
      <c r="S107" s="16" t="n"/>
      <c r="T107" s="16" t="n"/>
      <c r="U107" s="16" t="n"/>
      <c r="V107" s="16" t="n"/>
      <c r="W107" s="16" t="n"/>
      <c r="X107" s="16" t="n"/>
      <c r="Y107" s="16" t="n"/>
      <c r="Z107" s="16" t="n"/>
      <c r="AA107" s="16" t="n"/>
      <c r="AB107" s="18" t="n"/>
      <c r="AC107" s="15">
        <f>IF(A107="","",IF(AB107=_xlfn.MAXIFS('Register'!$AB$6:$AB$505,'Register'!$A$6:$A$505,A107),"Y","N"))</f>
        <v/>
      </c>
      <c r="AD107" s="15">
        <f>IF(A107="","",COUNTIF('Register'!$A$6:$A$505,A107))</f>
        <v/>
      </c>
      <c r="AE107" s="17" t="n"/>
      <c r="AF107" s="16" t="n"/>
      <c r="AG107" s="17" t="n"/>
      <c r="AH107" s="17" t="n"/>
      <c r="AI107" s="19">
        <f>IF(AE107="","",AE107+IF(AF107="",TA_NOC,AF107))</f>
        <v/>
      </c>
      <c r="AJ107" s="15">
        <f>IF(AE107="","",IF(AG107="",DATADATE,AG107)-AE107)</f>
        <v/>
      </c>
      <c r="AK107" s="15">
        <f>IF(OR(AI107="",AG107&lt;&gt;""),"",IF(DATADATE&gt;AI107,"OVERDUE",""))</f>
        <v/>
      </c>
      <c r="AL107" s="15">
        <f>IF(AH107="","",IF(AH107&lt;DATADATE,"EXPIRED",IF(AH107-DATADATE&lt;=WARN_EXP,"EXPIRING","")))</f>
        <v/>
      </c>
      <c r="AM107" s="16" t="n"/>
      <c r="AN107" s="16" t="n"/>
      <c r="AO107" s="16" t="n"/>
      <c r="AP107" s="16" t="n"/>
    </row>
    <row r="108">
      <c r="A108" s="15">
        <f>IF(AA108="","",PROJ&amp;"-NOC-"&amp;Z108&amp;"-"&amp;TEXT(AA108,"0000"))</f>
        <v/>
      </c>
      <c r="B108" s="15">
        <f>IF(AA108="","",PROJ)</f>
        <v/>
      </c>
      <c r="C108" s="16" t="n"/>
      <c r="D108" s="16" t="n"/>
      <c r="E108" s="16" t="n"/>
      <c r="F108" s="16" t="n"/>
      <c r="G108" s="16" t="n"/>
      <c r="H108" s="16" t="n"/>
      <c r="I108" s="16" t="n"/>
      <c r="J108" s="16" t="n"/>
      <c r="K108" s="16" t="n"/>
      <c r="L108" s="16" t="n"/>
      <c r="M108" s="16" t="n"/>
      <c r="N108" s="16" t="n"/>
      <c r="O108" s="17" t="n"/>
      <c r="P108" s="16" t="n"/>
      <c r="Q108" s="16" t="n"/>
      <c r="R108" s="16" t="n"/>
      <c r="S108" s="16" t="n"/>
      <c r="T108" s="16" t="n"/>
      <c r="U108" s="16" t="n"/>
      <c r="V108" s="16" t="n"/>
      <c r="W108" s="16" t="n"/>
      <c r="X108" s="16" t="n"/>
      <c r="Y108" s="16" t="n"/>
      <c r="Z108" s="16" t="n"/>
      <c r="AA108" s="16" t="n"/>
      <c r="AB108" s="18" t="n"/>
      <c r="AC108" s="15">
        <f>IF(A108="","",IF(AB108=_xlfn.MAXIFS('Register'!$AB$6:$AB$505,'Register'!$A$6:$A$505,A108),"Y","N"))</f>
        <v/>
      </c>
      <c r="AD108" s="15">
        <f>IF(A108="","",COUNTIF('Register'!$A$6:$A$505,A108))</f>
        <v/>
      </c>
      <c r="AE108" s="17" t="n"/>
      <c r="AF108" s="16" t="n"/>
      <c r="AG108" s="17" t="n"/>
      <c r="AH108" s="17" t="n"/>
      <c r="AI108" s="19">
        <f>IF(AE108="","",AE108+IF(AF108="",TA_NOC,AF108))</f>
        <v/>
      </c>
      <c r="AJ108" s="15">
        <f>IF(AE108="","",IF(AG108="",DATADATE,AG108)-AE108)</f>
        <v/>
      </c>
      <c r="AK108" s="15">
        <f>IF(OR(AI108="",AG108&lt;&gt;""),"",IF(DATADATE&gt;AI108,"OVERDUE",""))</f>
        <v/>
      </c>
      <c r="AL108" s="15">
        <f>IF(AH108="","",IF(AH108&lt;DATADATE,"EXPIRED",IF(AH108-DATADATE&lt;=WARN_EXP,"EXPIRING","")))</f>
        <v/>
      </c>
      <c r="AM108" s="16" t="n"/>
      <c r="AN108" s="16" t="n"/>
      <c r="AO108" s="16" t="n"/>
      <c r="AP108" s="16" t="n"/>
    </row>
    <row r="109">
      <c r="A109" s="15">
        <f>IF(AA109="","",PROJ&amp;"-NOC-"&amp;Z109&amp;"-"&amp;TEXT(AA109,"0000"))</f>
        <v/>
      </c>
      <c r="B109" s="15">
        <f>IF(AA109="","",PROJ)</f>
        <v/>
      </c>
      <c r="C109" s="16" t="n"/>
      <c r="D109" s="16" t="n"/>
      <c r="E109" s="16" t="n"/>
      <c r="F109" s="16" t="n"/>
      <c r="G109" s="16" t="n"/>
      <c r="H109" s="16" t="n"/>
      <c r="I109" s="16" t="n"/>
      <c r="J109" s="16" t="n"/>
      <c r="K109" s="16" t="n"/>
      <c r="L109" s="16" t="n"/>
      <c r="M109" s="16" t="n"/>
      <c r="N109" s="16" t="n"/>
      <c r="O109" s="17" t="n"/>
      <c r="P109" s="16" t="n"/>
      <c r="Q109" s="16" t="n"/>
      <c r="R109" s="16" t="n"/>
      <c r="S109" s="16" t="n"/>
      <c r="T109" s="16" t="n"/>
      <c r="U109" s="16" t="n"/>
      <c r="V109" s="16" t="n"/>
      <c r="W109" s="16" t="n"/>
      <c r="X109" s="16" t="n"/>
      <c r="Y109" s="16" t="n"/>
      <c r="Z109" s="16" t="n"/>
      <c r="AA109" s="16" t="n"/>
      <c r="AB109" s="18" t="n"/>
      <c r="AC109" s="15">
        <f>IF(A109="","",IF(AB109=_xlfn.MAXIFS('Register'!$AB$6:$AB$505,'Register'!$A$6:$A$505,A109),"Y","N"))</f>
        <v/>
      </c>
      <c r="AD109" s="15">
        <f>IF(A109="","",COUNTIF('Register'!$A$6:$A$505,A109))</f>
        <v/>
      </c>
      <c r="AE109" s="17" t="n"/>
      <c r="AF109" s="16" t="n"/>
      <c r="AG109" s="17" t="n"/>
      <c r="AH109" s="17" t="n"/>
      <c r="AI109" s="19">
        <f>IF(AE109="","",AE109+IF(AF109="",TA_NOC,AF109))</f>
        <v/>
      </c>
      <c r="AJ109" s="15">
        <f>IF(AE109="","",IF(AG109="",DATADATE,AG109)-AE109)</f>
        <v/>
      </c>
      <c r="AK109" s="15">
        <f>IF(OR(AI109="",AG109&lt;&gt;""),"",IF(DATADATE&gt;AI109,"OVERDUE",""))</f>
        <v/>
      </c>
      <c r="AL109" s="15">
        <f>IF(AH109="","",IF(AH109&lt;DATADATE,"EXPIRED",IF(AH109-DATADATE&lt;=WARN_EXP,"EXPIRING","")))</f>
        <v/>
      </c>
      <c r="AM109" s="16" t="n"/>
      <c r="AN109" s="16" t="n"/>
      <c r="AO109" s="16" t="n"/>
      <c r="AP109" s="16" t="n"/>
    </row>
    <row r="110">
      <c r="A110" s="15">
        <f>IF(AA110="","",PROJ&amp;"-NOC-"&amp;Z110&amp;"-"&amp;TEXT(AA110,"0000"))</f>
        <v/>
      </c>
      <c r="B110" s="15">
        <f>IF(AA110="","",PROJ)</f>
        <v/>
      </c>
      <c r="C110" s="16" t="n"/>
      <c r="D110" s="16" t="n"/>
      <c r="E110" s="16" t="n"/>
      <c r="F110" s="16" t="n"/>
      <c r="G110" s="16" t="n"/>
      <c r="H110" s="16" t="n"/>
      <c r="I110" s="16" t="n"/>
      <c r="J110" s="16" t="n"/>
      <c r="K110" s="16" t="n"/>
      <c r="L110" s="16" t="n"/>
      <c r="M110" s="16" t="n"/>
      <c r="N110" s="16" t="n"/>
      <c r="O110" s="17" t="n"/>
      <c r="P110" s="16" t="n"/>
      <c r="Q110" s="16" t="n"/>
      <c r="R110" s="16" t="n"/>
      <c r="S110" s="16" t="n"/>
      <c r="T110" s="16" t="n"/>
      <c r="U110" s="16" t="n"/>
      <c r="V110" s="16" t="n"/>
      <c r="W110" s="16" t="n"/>
      <c r="X110" s="16" t="n"/>
      <c r="Y110" s="16" t="n"/>
      <c r="Z110" s="16" t="n"/>
      <c r="AA110" s="16" t="n"/>
      <c r="AB110" s="18" t="n"/>
      <c r="AC110" s="15">
        <f>IF(A110="","",IF(AB110=_xlfn.MAXIFS('Register'!$AB$6:$AB$505,'Register'!$A$6:$A$505,A110),"Y","N"))</f>
        <v/>
      </c>
      <c r="AD110" s="15">
        <f>IF(A110="","",COUNTIF('Register'!$A$6:$A$505,A110))</f>
        <v/>
      </c>
      <c r="AE110" s="17" t="n"/>
      <c r="AF110" s="16" t="n"/>
      <c r="AG110" s="17" t="n"/>
      <c r="AH110" s="17" t="n"/>
      <c r="AI110" s="19">
        <f>IF(AE110="","",AE110+IF(AF110="",TA_NOC,AF110))</f>
        <v/>
      </c>
      <c r="AJ110" s="15">
        <f>IF(AE110="","",IF(AG110="",DATADATE,AG110)-AE110)</f>
        <v/>
      </c>
      <c r="AK110" s="15">
        <f>IF(OR(AI110="",AG110&lt;&gt;""),"",IF(DATADATE&gt;AI110,"OVERDUE",""))</f>
        <v/>
      </c>
      <c r="AL110" s="15">
        <f>IF(AH110="","",IF(AH110&lt;DATADATE,"EXPIRED",IF(AH110-DATADATE&lt;=WARN_EXP,"EXPIRING","")))</f>
        <v/>
      </c>
      <c r="AM110" s="16" t="n"/>
      <c r="AN110" s="16" t="n"/>
      <c r="AO110" s="16" t="n"/>
      <c r="AP110" s="16" t="n"/>
    </row>
    <row r="111">
      <c r="A111" s="15">
        <f>IF(AA111="","",PROJ&amp;"-NOC-"&amp;Z111&amp;"-"&amp;TEXT(AA111,"0000"))</f>
        <v/>
      </c>
      <c r="B111" s="15">
        <f>IF(AA111="","",PROJ)</f>
        <v/>
      </c>
      <c r="C111" s="16" t="n"/>
      <c r="D111" s="16" t="n"/>
      <c r="E111" s="16" t="n"/>
      <c r="F111" s="16" t="n"/>
      <c r="G111" s="16" t="n"/>
      <c r="H111" s="16" t="n"/>
      <c r="I111" s="16" t="n"/>
      <c r="J111" s="16" t="n"/>
      <c r="K111" s="16" t="n"/>
      <c r="L111" s="16" t="n"/>
      <c r="M111" s="16" t="n"/>
      <c r="N111" s="16" t="n"/>
      <c r="O111" s="17" t="n"/>
      <c r="P111" s="16" t="n"/>
      <c r="Q111" s="16" t="n"/>
      <c r="R111" s="16" t="n"/>
      <c r="S111" s="16" t="n"/>
      <c r="T111" s="16" t="n"/>
      <c r="U111" s="16" t="n"/>
      <c r="V111" s="16" t="n"/>
      <c r="W111" s="16" t="n"/>
      <c r="X111" s="16" t="n"/>
      <c r="Y111" s="16" t="n"/>
      <c r="Z111" s="16" t="n"/>
      <c r="AA111" s="16" t="n"/>
      <c r="AB111" s="18" t="n"/>
      <c r="AC111" s="15">
        <f>IF(A111="","",IF(AB111=_xlfn.MAXIFS('Register'!$AB$6:$AB$505,'Register'!$A$6:$A$505,A111),"Y","N"))</f>
        <v/>
      </c>
      <c r="AD111" s="15">
        <f>IF(A111="","",COUNTIF('Register'!$A$6:$A$505,A111))</f>
        <v/>
      </c>
      <c r="AE111" s="17" t="n"/>
      <c r="AF111" s="16" t="n"/>
      <c r="AG111" s="17" t="n"/>
      <c r="AH111" s="17" t="n"/>
      <c r="AI111" s="19">
        <f>IF(AE111="","",AE111+IF(AF111="",TA_NOC,AF111))</f>
        <v/>
      </c>
      <c r="AJ111" s="15">
        <f>IF(AE111="","",IF(AG111="",DATADATE,AG111)-AE111)</f>
        <v/>
      </c>
      <c r="AK111" s="15">
        <f>IF(OR(AI111="",AG111&lt;&gt;""),"",IF(DATADATE&gt;AI111,"OVERDUE",""))</f>
        <v/>
      </c>
      <c r="AL111" s="15">
        <f>IF(AH111="","",IF(AH111&lt;DATADATE,"EXPIRED",IF(AH111-DATADATE&lt;=WARN_EXP,"EXPIRING","")))</f>
        <v/>
      </c>
      <c r="AM111" s="16" t="n"/>
      <c r="AN111" s="16" t="n"/>
      <c r="AO111" s="16" t="n"/>
      <c r="AP111" s="16" t="n"/>
    </row>
    <row r="112">
      <c r="A112" s="15">
        <f>IF(AA112="","",PROJ&amp;"-NOC-"&amp;Z112&amp;"-"&amp;TEXT(AA112,"0000"))</f>
        <v/>
      </c>
      <c r="B112" s="15">
        <f>IF(AA112="","",PROJ)</f>
        <v/>
      </c>
      <c r="C112" s="16" t="n"/>
      <c r="D112" s="16" t="n"/>
      <c r="E112" s="16" t="n"/>
      <c r="F112" s="16" t="n"/>
      <c r="G112" s="16" t="n"/>
      <c r="H112" s="16" t="n"/>
      <c r="I112" s="16" t="n"/>
      <c r="J112" s="16" t="n"/>
      <c r="K112" s="16" t="n"/>
      <c r="L112" s="16" t="n"/>
      <c r="M112" s="16" t="n"/>
      <c r="N112" s="16" t="n"/>
      <c r="O112" s="17" t="n"/>
      <c r="P112" s="16" t="n"/>
      <c r="Q112" s="16" t="n"/>
      <c r="R112" s="16" t="n"/>
      <c r="S112" s="16" t="n"/>
      <c r="T112" s="16" t="n"/>
      <c r="U112" s="16" t="n"/>
      <c r="V112" s="16" t="n"/>
      <c r="W112" s="16" t="n"/>
      <c r="X112" s="16" t="n"/>
      <c r="Y112" s="16" t="n"/>
      <c r="Z112" s="16" t="n"/>
      <c r="AA112" s="16" t="n"/>
      <c r="AB112" s="18" t="n"/>
      <c r="AC112" s="15">
        <f>IF(A112="","",IF(AB112=_xlfn.MAXIFS('Register'!$AB$6:$AB$505,'Register'!$A$6:$A$505,A112),"Y","N"))</f>
        <v/>
      </c>
      <c r="AD112" s="15">
        <f>IF(A112="","",COUNTIF('Register'!$A$6:$A$505,A112))</f>
        <v/>
      </c>
      <c r="AE112" s="17" t="n"/>
      <c r="AF112" s="16" t="n"/>
      <c r="AG112" s="17" t="n"/>
      <c r="AH112" s="17" t="n"/>
      <c r="AI112" s="19">
        <f>IF(AE112="","",AE112+IF(AF112="",TA_NOC,AF112))</f>
        <v/>
      </c>
      <c r="AJ112" s="15">
        <f>IF(AE112="","",IF(AG112="",DATADATE,AG112)-AE112)</f>
        <v/>
      </c>
      <c r="AK112" s="15">
        <f>IF(OR(AI112="",AG112&lt;&gt;""),"",IF(DATADATE&gt;AI112,"OVERDUE",""))</f>
        <v/>
      </c>
      <c r="AL112" s="15">
        <f>IF(AH112="","",IF(AH112&lt;DATADATE,"EXPIRED",IF(AH112-DATADATE&lt;=WARN_EXP,"EXPIRING","")))</f>
        <v/>
      </c>
      <c r="AM112" s="16" t="n"/>
      <c r="AN112" s="16" t="n"/>
      <c r="AO112" s="16" t="n"/>
      <c r="AP112" s="16" t="n"/>
    </row>
    <row r="113">
      <c r="A113" s="15">
        <f>IF(AA113="","",PROJ&amp;"-NOC-"&amp;Z113&amp;"-"&amp;TEXT(AA113,"0000"))</f>
        <v/>
      </c>
      <c r="B113" s="15">
        <f>IF(AA113="","",PROJ)</f>
        <v/>
      </c>
      <c r="C113" s="16" t="n"/>
      <c r="D113" s="16" t="n"/>
      <c r="E113" s="16" t="n"/>
      <c r="F113" s="16" t="n"/>
      <c r="G113" s="16" t="n"/>
      <c r="H113" s="16" t="n"/>
      <c r="I113" s="16" t="n"/>
      <c r="J113" s="16" t="n"/>
      <c r="K113" s="16" t="n"/>
      <c r="L113" s="16" t="n"/>
      <c r="M113" s="16" t="n"/>
      <c r="N113" s="16" t="n"/>
      <c r="O113" s="17" t="n"/>
      <c r="P113" s="16" t="n"/>
      <c r="Q113" s="16" t="n"/>
      <c r="R113" s="16" t="n"/>
      <c r="S113" s="16" t="n"/>
      <c r="T113" s="16" t="n"/>
      <c r="U113" s="16" t="n"/>
      <c r="V113" s="16" t="n"/>
      <c r="W113" s="16" t="n"/>
      <c r="X113" s="16" t="n"/>
      <c r="Y113" s="16" t="n"/>
      <c r="Z113" s="16" t="n"/>
      <c r="AA113" s="16" t="n"/>
      <c r="AB113" s="18" t="n"/>
      <c r="AC113" s="15">
        <f>IF(A113="","",IF(AB113=_xlfn.MAXIFS('Register'!$AB$6:$AB$505,'Register'!$A$6:$A$505,A113),"Y","N"))</f>
        <v/>
      </c>
      <c r="AD113" s="15">
        <f>IF(A113="","",COUNTIF('Register'!$A$6:$A$505,A113))</f>
        <v/>
      </c>
      <c r="AE113" s="17" t="n"/>
      <c r="AF113" s="16" t="n"/>
      <c r="AG113" s="17" t="n"/>
      <c r="AH113" s="17" t="n"/>
      <c r="AI113" s="19">
        <f>IF(AE113="","",AE113+IF(AF113="",TA_NOC,AF113))</f>
        <v/>
      </c>
      <c r="AJ113" s="15">
        <f>IF(AE113="","",IF(AG113="",DATADATE,AG113)-AE113)</f>
        <v/>
      </c>
      <c r="AK113" s="15">
        <f>IF(OR(AI113="",AG113&lt;&gt;""),"",IF(DATADATE&gt;AI113,"OVERDUE",""))</f>
        <v/>
      </c>
      <c r="AL113" s="15">
        <f>IF(AH113="","",IF(AH113&lt;DATADATE,"EXPIRED",IF(AH113-DATADATE&lt;=WARN_EXP,"EXPIRING","")))</f>
        <v/>
      </c>
      <c r="AM113" s="16" t="n"/>
      <c r="AN113" s="16" t="n"/>
      <c r="AO113" s="16" t="n"/>
      <c r="AP113" s="16" t="n"/>
    </row>
    <row r="114">
      <c r="A114" s="15">
        <f>IF(AA114="","",PROJ&amp;"-NOC-"&amp;Z114&amp;"-"&amp;TEXT(AA114,"0000"))</f>
        <v/>
      </c>
      <c r="B114" s="15">
        <f>IF(AA114="","",PROJ)</f>
        <v/>
      </c>
      <c r="C114" s="16" t="n"/>
      <c r="D114" s="16" t="n"/>
      <c r="E114" s="16" t="n"/>
      <c r="F114" s="16" t="n"/>
      <c r="G114" s="16" t="n"/>
      <c r="H114" s="16" t="n"/>
      <c r="I114" s="16" t="n"/>
      <c r="J114" s="16" t="n"/>
      <c r="K114" s="16" t="n"/>
      <c r="L114" s="16" t="n"/>
      <c r="M114" s="16" t="n"/>
      <c r="N114" s="16" t="n"/>
      <c r="O114" s="17" t="n"/>
      <c r="P114" s="16" t="n"/>
      <c r="Q114" s="16" t="n"/>
      <c r="R114" s="16" t="n"/>
      <c r="S114" s="16" t="n"/>
      <c r="T114" s="16" t="n"/>
      <c r="U114" s="16" t="n"/>
      <c r="V114" s="16" t="n"/>
      <c r="W114" s="16" t="n"/>
      <c r="X114" s="16" t="n"/>
      <c r="Y114" s="16" t="n"/>
      <c r="Z114" s="16" t="n"/>
      <c r="AA114" s="16" t="n"/>
      <c r="AB114" s="18" t="n"/>
      <c r="AC114" s="15">
        <f>IF(A114="","",IF(AB114=_xlfn.MAXIFS('Register'!$AB$6:$AB$505,'Register'!$A$6:$A$505,A114),"Y","N"))</f>
        <v/>
      </c>
      <c r="AD114" s="15">
        <f>IF(A114="","",COUNTIF('Register'!$A$6:$A$505,A114))</f>
        <v/>
      </c>
      <c r="AE114" s="17" t="n"/>
      <c r="AF114" s="16" t="n"/>
      <c r="AG114" s="17" t="n"/>
      <c r="AH114" s="17" t="n"/>
      <c r="AI114" s="19">
        <f>IF(AE114="","",AE114+IF(AF114="",TA_NOC,AF114))</f>
        <v/>
      </c>
      <c r="AJ114" s="15">
        <f>IF(AE114="","",IF(AG114="",DATADATE,AG114)-AE114)</f>
        <v/>
      </c>
      <c r="AK114" s="15">
        <f>IF(OR(AI114="",AG114&lt;&gt;""),"",IF(DATADATE&gt;AI114,"OVERDUE",""))</f>
        <v/>
      </c>
      <c r="AL114" s="15">
        <f>IF(AH114="","",IF(AH114&lt;DATADATE,"EXPIRED",IF(AH114-DATADATE&lt;=WARN_EXP,"EXPIRING","")))</f>
        <v/>
      </c>
      <c r="AM114" s="16" t="n"/>
      <c r="AN114" s="16" t="n"/>
      <c r="AO114" s="16" t="n"/>
      <c r="AP114" s="16" t="n"/>
    </row>
    <row r="115">
      <c r="A115" s="15">
        <f>IF(AA115="","",PROJ&amp;"-NOC-"&amp;Z115&amp;"-"&amp;TEXT(AA115,"0000"))</f>
        <v/>
      </c>
      <c r="B115" s="15">
        <f>IF(AA115="","",PROJ)</f>
        <v/>
      </c>
      <c r="C115" s="16" t="n"/>
      <c r="D115" s="16" t="n"/>
      <c r="E115" s="16" t="n"/>
      <c r="F115" s="16" t="n"/>
      <c r="G115" s="16" t="n"/>
      <c r="H115" s="16" t="n"/>
      <c r="I115" s="16" t="n"/>
      <c r="J115" s="16" t="n"/>
      <c r="K115" s="16" t="n"/>
      <c r="L115" s="16" t="n"/>
      <c r="M115" s="16" t="n"/>
      <c r="N115" s="16" t="n"/>
      <c r="O115" s="17" t="n"/>
      <c r="P115" s="16" t="n"/>
      <c r="Q115" s="16" t="n"/>
      <c r="R115" s="16" t="n"/>
      <c r="S115" s="16" t="n"/>
      <c r="T115" s="16" t="n"/>
      <c r="U115" s="16" t="n"/>
      <c r="V115" s="16" t="n"/>
      <c r="W115" s="16" t="n"/>
      <c r="X115" s="16" t="n"/>
      <c r="Y115" s="16" t="n"/>
      <c r="Z115" s="16" t="n"/>
      <c r="AA115" s="16" t="n"/>
      <c r="AB115" s="18" t="n"/>
      <c r="AC115" s="15">
        <f>IF(A115="","",IF(AB115=_xlfn.MAXIFS('Register'!$AB$6:$AB$505,'Register'!$A$6:$A$505,A115),"Y","N"))</f>
        <v/>
      </c>
      <c r="AD115" s="15">
        <f>IF(A115="","",COUNTIF('Register'!$A$6:$A$505,A115))</f>
        <v/>
      </c>
      <c r="AE115" s="17" t="n"/>
      <c r="AF115" s="16" t="n"/>
      <c r="AG115" s="17" t="n"/>
      <c r="AH115" s="17" t="n"/>
      <c r="AI115" s="19">
        <f>IF(AE115="","",AE115+IF(AF115="",TA_NOC,AF115))</f>
        <v/>
      </c>
      <c r="AJ115" s="15">
        <f>IF(AE115="","",IF(AG115="",DATADATE,AG115)-AE115)</f>
        <v/>
      </c>
      <c r="AK115" s="15">
        <f>IF(OR(AI115="",AG115&lt;&gt;""),"",IF(DATADATE&gt;AI115,"OVERDUE",""))</f>
        <v/>
      </c>
      <c r="AL115" s="15">
        <f>IF(AH115="","",IF(AH115&lt;DATADATE,"EXPIRED",IF(AH115-DATADATE&lt;=WARN_EXP,"EXPIRING","")))</f>
        <v/>
      </c>
      <c r="AM115" s="16" t="n"/>
      <c r="AN115" s="16" t="n"/>
      <c r="AO115" s="16" t="n"/>
      <c r="AP115" s="16" t="n"/>
    </row>
    <row r="116">
      <c r="A116" s="15">
        <f>IF(AA116="","",PROJ&amp;"-NOC-"&amp;Z116&amp;"-"&amp;TEXT(AA116,"0000"))</f>
        <v/>
      </c>
      <c r="B116" s="15">
        <f>IF(AA116="","",PROJ)</f>
        <v/>
      </c>
      <c r="C116" s="16" t="n"/>
      <c r="D116" s="16" t="n"/>
      <c r="E116" s="16" t="n"/>
      <c r="F116" s="16" t="n"/>
      <c r="G116" s="16" t="n"/>
      <c r="H116" s="16" t="n"/>
      <c r="I116" s="16" t="n"/>
      <c r="J116" s="16" t="n"/>
      <c r="K116" s="16" t="n"/>
      <c r="L116" s="16" t="n"/>
      <c r="M116" s="16" t="n"/>
      <c r="N116" s="16" t="n"/>
      <c r="O116" s="17" t="n"/>
      <c r="P116" s="16" t="n"/>
      <c r="Q116" s="16" t="n"/>
      <c r="R116" s="16" t="n"/>
      <c r="S116" s="16" t="n"/>
      <c r="T116" s="16" t="n"/>
      <c r="U116" s="16" t="n"/>
      <c r="V116" s="16" t="n"/>
      <c r="W116" s="16" t="n"/>
      <c r="X116" s="16" t="n"/>
      <c r="Y116" s="16" t="n"/>
      <c r="Z116" s="16" t="n"/>
      <c r="AA116" s="16" t="n"/>
      <c r="AB116" s="18" t="n"/>
      <c r="AC116" s="15">
        <f>IF(A116="","",IF(AB116=_xlfn.MAXIFS('Register'!$AB$6:$AB$505,'Register'!$A$6:$A$505,A116),"Y","N"))</f>
        <v/>
      </c>
      <c r="AD116" s="15">
        <f>IF(A116="","",COUNTIF('Register'!$A$6:$A$505,A116))</f>
        <v/>
      </c>
      <c r="AE116" s="17" t="n"/>
      <c r="AF116" s="16" t="n"/>
      <c r="AG116" s="17" t="n"/>
      <c r="AH116" s="17" t="n"/>
      <c r="AI116" s="19">
        <f>IF(AE116="","",AE116+IF(AF116="",TA_NOC,AF116))</f>
        <v/>
      </c>
      <c r="AJ116" s="15">
        <f>IF(AE116="","",IF(AG116="",DATADATE,AG116)-AE116)</f>
        <v/>
      </c>
      <c r="AK116" s="15">
        <f>IF(OR(AI116="",AG116&lt;&gt;""),"",IF(DATADATE&gt;AI116,"OVERDUE",""))</f>
        <v/>
      </c>
      <c r="AL116" s="15">
        <f>IF(AH116="","",IF(AH116&lt;DATADATE,"EXPIRED",IF(AH116-DATADATE&lt;=WARN_EXP,"EXPIRING","")))</f>
        <v/>
      </c>
      <c r="AM116" s="16" t="n"/>
      <c r="AN116" s="16" t="n"/>
      <c r="AO116" s="16" t="n"/>
      <c r="AP116" s="16" t="n"/>
    </row>
    <row r="117">
      <c r="A117" s="15">
        <f>IF(AA117="","",PROJ&amp;"-NOC-"&amp;Z117&amp;"-"&amp;TEXT(AA117,"0000"))</f>
        <v/>
      </c>
      <c r="B117" s="15">
        <f>IF(AA117="","",PROJ)</f>
        <v/>
      </c>
      <c r="C117" s="16" t="n"/>
      <c r="D117" s="16" t="n"/>
      <c r="E117" s="16" t="n"/>
      <c r="F117" s="16" t="n"/>
      <c r="G117" s="16" t="n"/>
      <c r="H117" s="16" t="n"/>
      <c r="I117" s="16" t="n"/>
      <c r="J117" s="16" t="n"/>
      <c r="K117" s="16" t="n"/>
      <c r="L117" s="16" t="n"/>
      <c r="M117" s="16" t="n"/>
      <c r="N117" s="16" t="n"/>
      <c r="O117" s="17" t="n"/>
      <c r="P117" s="16" t="n"/>
      <c r="Q117" s="16" t="n"/>
      <c r="R117" s="16" t="n"/>
      <c r="S117" s="16" t="n"/>
      <c r="T117" s="16" t="n"/>
      <c r="U117" s="16" t="n"/>
      <c r="V117" s="16" t="n"/>
      <c r="W117" s="16" t="n"/>
      <c r="X117" s="16" t="n"/>
      <c r="Y117" s="16" t="n"/>
      <c r="Z117" s="16" t="n"/>
      <c r="AA117" s="16" t="n"/>
      <c r="AB117" s="18" t="n"/>
      <c r="AC117" s="15">
        <f>IF(A117="","",IF(AB117=_xlfn.MAXIFS('Register'!$AB$6:$AB$505,'Register'!$A$6:$A$505,A117),"Y","N"))</f>
        <v/>
      </c>
      <c r="AD117" s="15">
        <f>IF(A117="","",COUNTIF('Register'!$A$6:$A$505,A117))</f>
        <v/>
      </c>
      <c r="AE117" s="17" t="n"/>
      <c r="AF117" s="16" t="n"/>
      <c r="AG117" s="17" t="n"/>
      <c r="AH117" s="17" t="n"/>
      <c r="AI117" s="19">
        <f>IF(AE117="","",AE117+IF(AF117="",TA_NOC,AF117))</f>
        <v/>
      </c>
      <c r="AJ117" s="15">
        <f>IF(AE117="","",IF(AG117="",DATADATE,AG117)-AE117)</f>
        <v/>
      </c>
      <c r="AK117" s="15">
        <f>IF(OR(AI117="",AG117&lt;&gt;""),"",IF(DATADATE&gt;AI117,"OVERDUE",""))</f>
        <v/>
      </c>
      <c r="AL117" s="15">
        <f>IF(AH117="","",IF(AH117&lt;DATADATE,"EXPIRED",IF(AH117-DATADATE&lt;=WARN_EXP,"EXPIRING","")))</f>
        <v/>
      </c>
      <c r="AM117" s="16" t="n"/>
      <c r="AN117" s="16" t="n"/>
      <c r="AO117" s="16" t="n"/>
      <c r="AP117" s="16" t="n"/>
    </row>
    <row r="118">
      <c r="A118" s="15">
        <f>IF(AA118="","",PROJ&amp;"-NOC-"&amp;Z118&amp;"-"&amp;TEXT(AA118,"0000"))</f>
        <v/>
      </c>
      <c r="B118" s="15">
        <f>IF(AA118="","",PROJ)</f>
        <v/>
      </c>
      <c r="C118" s="16" t="n"/>
      <c r="D118" s="16" t="n"/>
      <c r="E118" s="16" t="n"/>
      <c r="F118" s="16" t="n"/>
      <c r="G118" s="16" t="n"/>
      <c r="H118" s="16" t="n"/>
      <c r="I118" s="16" t="n"/>
      <c r="J118" s="16" t="n"/>
      <c r="K118" s="16" t="n"/>
      <c r="L118" s="16" t="n"/>
      <c r="M118" s="16" t="n"/>
      <c r="N118" s="16" t="n"/>
      <c r="O118" s="17" t="n"/>
      <c r="P118" s="16" t="n"/>
      <c r="Q118" s="16" t="n"/>
      <c r="R118" s="16" t="n"/>
      <c r="S118" s="16" t="n"/>
      <c r="T118" s="16" t="n"/>
      <c r="U118" s="16" t="n"/>
      <c r="V118" s="16" t="n"/>
      <c r="W118" s="16" t="n"/>
      <c r="X118" s="16" t="n"/>
      <c r="Y118" s="16" t="n"/>
      <c r="Z118" s="16" t="n"/>
      <c r="AA118" s="16" t="n"/>
      <c r="AB118" s="18" t="n"/>
      <c r="AC118" s="15">
        <f>IF(A118="","",IF(AB118=_xlfn.MAXIFS('Register'!$AB$6:$AB$505,'Register'!$A$6:$A$505,A118),"Y","N"))</f>
        <v/>
      </c>
      <c r="AD118" s="15">
        <f>IF(A118="","",COUNTIF('Register'!$A$6:$A$505,A118))</f>
        <v/>
      </c>
      <c r="AE118" s="17" t="n"/>
      <c r="AF118" s="16" t="n"/>
      <c r="AG118" s="17" t="n"/>
      <c r="AH118" s="17" t="n"/>
      <c r="AI118" s="19">
        <f>IF(AE118="","",AE118+IF(AF118="",TA_NOC,AF118))</f>
        <v/>
      </c>
      <c r="AJ118" s="15">
        <f>IF(AE118="","",IF(AG118="",DATADATE,AG118)-AE118)</f>
        <v/>
      </c>
      <c r="AK118" s="15">
        <f>IF(OR(AI118="",AG118&lt;&gt;""),"",IF(DATADATE&gt;AI118,"OVERDUE",""))</f>
        <v/>
      </c>
      <c r="AL118" s="15">
        <f>IF(AH118="","",IF(AH118&lt;DATADATE,"EXPIRED",IF(AH118-DATADATE&lt;=WARN_EXP,"EXPIRING","")))</f>
        <v/>
      </c>
      <c r="AM118" s="16" t="n"/>
      <c r="AN118" s="16" t="n"/>
      <c r="AO118" s="16" t="n"/>
      <c r="AP118" s="16" t="n"/>
    </row>
    <row r="119">
      <c r="A119" s="15">
        <f>IF(AA119="","",PROJ&amp;"-NOC-"&amp;Z119&amp;"-"&amp;TEXT(AA119,"0000"))</f>
        <v/>
      </c>
      <c r="B119" s="15">
        <f>IF(AA119="","",PROJ)</f>
        <v/>
      </c>
      <c r="C119" s="16" t="n"/>
      <c r="D119" s="16" t="n"/>
      <c r="E119" s="16" t="n"/>
      <c r="F119" s="16" t="n"/>
      <c r="G119" s="16" t="n"/>
      <c r="H119" s="16" t="n"/>
      <c r="I119" s="16" t="n"/>
      <c r="J119" s="16" t="n"/>
      <c r="K119" s="16" t="n"/>
      <c r="L119" s="16" t="n"/>
      <c r="M119" s="16" t="n"/>
      <c r="N119" s="16" t="n"/>
      <c r="O119" s="17" t="n"/>
      <c r="P119" s="16" t="n"/>
      <c r="Q119" s="16" t="n"/>
      <c r="R119" s="16" t="n"/>
      <c r="S119" s="16" t="n"/>
      <c r="T119" s="16" t="n"/>
      <c r="U119" s="16" t="n"/>
      <c r="V119" s="16" t="n"/>
      <c r="W119" s="16" t="n"/>
      <c r="X119" s="16" t="n"/>
      <c r="Y119" s="16" t="n"/>
      <c r="Z119" s="16" t="n"/>
      <c r="AA119" s="16" t="n"/>
      <c r="AB119" s="18" t="n"/>
      <c r="AC119" s="15">
        <f>IF(A119="","",IF(AB119=_xlfn.MAXIFS('Register'!$AB$6:$AB$505,'Register'!$A$6:$A$505,A119),"Y","N"))</f>
        <v/>
      </c>
      <c r="AD119" s="15">
        <f>IF(A119="","",COUNTIF('Register'!$A$6:$A$505,A119))</f>
        <v/>
      </c>
      <c r="AE119" s="17" t="n"/>
      <c r="AF119" s="16" t="n"/>
      <c r="AG119" s="17" t="n"/>
      <c r="AH119" s="17" t="n"/>
      <c r="AI119" s="19">
        <f>IF(AE119="","",AE119+IF(AF119="",TA_NOC,AF119))</f>
        <v/>
      </c>
      <c r="AJ119" s="15">
        <f>IF(AE119="","",IF(AG119="",DATADATE,AG119)-AE119)</f>
        <v/>
      </c>
      <c r="AK119" s="15">
        <f>IF(OR(AI119="",AG119&lt;&gt;""),"",IF(DATADATE&gt;AI119,"OVERDUE",""))</f>
        <v/>
      </c>
      <c r="AL119" s="15">
        <f>IF(AH119="","",IF(AH119&lt;DATADATE,"EXPIRED",IF(AH119-DATADATE&lt;=WARN_EXP,"EXPIRING","")))</f>
        <v/>
      </c>
      <c r="AM119" s="16" t="n"/>
      <c r="AN119" s="16" t="n"/>
      <c r="AO119" s="16" t="n"/>
      <c r="AP119" s="16" t="n"/>
    </row>
    <row r="120">
      <c r="A120" s="15">
        <f>IF(AA120="","",PROJ&amp;"-NOC-"&amp;Z120&amp;"-"&amp;TEXT(AA120,"0000"))</f>
        <v/>
      </c>
      <c r="B120" s="15">
        <f>IF(AA120="","",PROJ)</f>
        <v/>
      </c>
      <c r="C120" s="16" t="n"/>
      <c r="D120" s="16" t="n"/>
      <c r="E120" s="16" t="n"/>
      <c r="F120" s="16" t="n"/>
      <c r="G120" s="16" t="n"/>
      <c r="H120" s="16" t="n"/>
      <c r="I120" s="16" t="n"/>
      <c r="J120" s="16" t="n"/>
      <c r="K120" s="16" t="n"/>
      <c r="L120" s="16" t="n"/>
      <c r="M120" s="16" t="n"/>
      <c r="N120" s="16" t="n"/>
      <c r="O120" s="17" t="n"/>
      <c r="P120" s="16" t="n"/>
      <c r="Q120" s="16" t="n"/>
      <c r="R120" s="16" t="n"/>
      <c r="S120" s="16" t="n"/>
      <c r="T120" s="16" t="n"/>
      <c r="U120" s="16" t="n"/>
      <c r="V120" s="16" t="n"/>
      <c r="W120" s="16" t="n"/>
      <c r="X120" s="16" t="n"/>
      <c r="Y120" s="16" t="n"/>
      <c r="Z120" s="16" t="n"/>
      <c r="AA120" s="16" t="n"/>
      <c r="AB120" s="18" t="n"/>
      <c r="AC120" s="15">
        <f>IF(A120="","",IF(AB120=_xlfn.MAXIFS('Register'!$AB$6:$AB$505,'Register'!$A$6:$A$505,A120),"Y","N"))</f>
        <v/>
      </c>
      <c r="AD120" s="15">
        <f>IF(A120="","",COUNTIF('Register'!$A$6:$A$505,A120))</f>
        <v/>
      </c>
      <c r="AE120" s="17" t="n"/>
      <c r="AF120" s="16" t="n"/>
      <c r="AG120" s="17" t="n"/>
      <c r="AH120" s="17" t="n"/>
      <c r="AI120" s="19">
        <f>IF(AE120="","",AE120+IF(AF120="",TA_NOC,AF120))</f>
        <v/>
      </c>
      <c r="AJ120" s="15">
        <f>IF(AE120="","",IF(AG120="",DATADATE,AG120)-AE120)</f>
        <v/>
      </c>
      <c r="AK120" s="15">
        <f>IF(OR(AI120="",AG120&lt;&gt;""),"",IF(DATADATE&gt;AI120,"OVERDUE",""))</f>
        <v/>
      </c>
      <c r="AL120" s="15">
        <f>IF(AH120="","",IF(AH120&lt;DATADATE,"EXPIRED",IF(AH120-DATADATE&lt;=WARN_EXP,"EXPIRING","")))</f>
        <v/>
      </c>
      <c r="AM120" s="16" t="n"/>
      <c r="AN120" s="16" t="n"/>
      <c r="AO120" s="16" t="n"/>
      <c r="AP120" s="16" t="n"/>
    </row>
    <row r="121">
      <c r="A121" s="15">
        <f>IF(AA121="","",PROJ&amp;"-NOC-"&amp;Z121&amp;"-"&amp;TEXT(AA121,"0000"))</f>
        <v/>
      </c>
      <c r="B121" s="15">
        <f>IF(AA121="","",PROJ)</f>
        <v/>
      </c>
      <c r="C121" s="16" t="n"/>
      <c r="D121" s="16" t="n"/>
      <c r="E121" s="16" t="n"/>
      <c r="F121" s="16" t="n"/>
      <c r="G121" s="16" t="n"/>
      <c r="H121" s="16" t="n"/>
      <c r="I121" s="16" t="n"/>
      <c r="J121" s="16" t="n"/>
      <c r="K121" s="16" t="n"/>
      <c r="L121" s="16" t="n"/>
      <c r="M121" s="16" t="n"/>
      <c r="N121" s="16" t="n"/>
      <c r="O121" s="17" t="n"/>
      <c r="P121" s="16" t="n"/>
      <c r="Q121" s="16" t="n"/>
      <c r="R121" s="16" t="n"/>
      <c r="S121" s="16" t="n"/>
      <c r="T121" s="16" t="n"/>
      <c r="U121" s="16" t="n"/>
      <c r="V121" s="16" t="n"/>
      <c r="W121" s="16" t="n"/>
      <c r="X121" s="16" t="n"/>
      <c r="Y121" s="16" t="n"/>
      <c r="Z121" s="16" t="n"/>
      <c r="AA121" s="16" t="n"/>
      <c r="AB121" s="18" t="n"/>
      <c r="AC121" s="15">
        <f>IF(A121="","",IF(AB121=_xlfn.MAXIFS('Register'!$AB$6:$AB$505,'Register'!$A$6:$A$505,A121),"Y","N"))</f>
        <v/>
      </c>
      <c r="AD121" s="15">
        <f>IF(A121="","",COUNTIF('Register'!$A$6:$A$505,A121))</f>
        <v/>
      </c>
      <c r="AE121" s="17" t="n"/>
      <c r="AF121" s="16" t="n"/>
      <c r="AG121" s="17" t="n"/>
      <c r="AH121" s="17" t="n"/>
      <c r="AI121" s="19">
        <f>IF(AE121="","",AE121+IF(AF121="",TA_NOC,AF121))</f>
        <v/>
      </c>
      <c r="AJ121" s="15">
        <f>IF(AE121="","",IF(AG121="",DATADATE,AG121)-AE121)</f>
        <v/>
      </c>
      <c r="AK121" s="15">
        <f>IF(OR(AI121="",AG121&lt;&gt;""),"",IF(DATADATE&gt;AI121,"OVERDUE",""))</f>
        <v/>
      </c>
      <c r="AL121" s="15">
        <f>IF(AH121="","",IF(AH121&lt;DATADATE,"EXPIRED",IF(AH121-DATADATE&lt;=WARN_EXP,"EXPIRING","")))</f>
        <v/>
      </c>
      <c r="AM121" s="16" t="n"/>
      <c r="AN121" s="16" t="n"/>
      <c r="AO121" s="16" t="n"/>
      <c r="AP121" s="16" t="n"/>
    </row>
    <row r="122">
      <c r="A122" s="15">
        <f>IF(AA122="","",PROJ&amp;"-NOC-"&amp;Z122&amp;"-"&amp;TEXT(AA122,"0000"))</f>
        <v/>
      </c>
      <c r="B122" s="15">
        <f>IF(AA122="","",PROJ)</f>
        <v/>
      </c>
      <c r="C122" s="16" t="n"/>
      <c r="D122" s="16" t="n"/>
      <c r="E122" s="16" t="n"/>
      <c r="F122" s="16" t="n"/>
      <c r="G122" s="16" t="n"/>
      <c r="H122" s="16" t="n"/>
      <c r="I122" s="16" t="n"/>
      <c r="J122" s="16" t="n"/>
      <c r="K122" s="16" t="n"/>
      <c r="L122" s="16" t="n"/>
      <c r="M122" s="16" t="n"/>
      <c r="N122" s="16" t="n"/>
      <c r="O122" s="17" t="n"/>
      <c r="P122" s="16" t="n"/>
      <c r="Q122" s="16" t="n"/>
      <c r="R122" s="16" t="n"/>
      <c r="S122" s="16" t="n"/>
      <c r="T122" s="16" t="n"/>
      <c r="U122" s="16" t="n"/>
      <c r="V122" s="16" t="n"/>
      <c r="W122" s="16" t="n"/>
      <c r="X122" s="16" t="n"/>
      <c r="Y122" s="16" t="n"/>
      <c r="Z122" s="16" t="n"/>
      <c r="AA122" s="16" t="n"/>
      <c r="AB122" s="18" t="n"/>
      <c r="AC122" s="15">
        <f>IF(A122="","",IF(AB122=_xlfn.MAXIFS('Register'!$AB$6:$AB$505,'Register'!$A$6:$A$505,A122),"Y","N"))</f>
        <v/>
      </c>
      <c r="AD122" s="15">
        <f>IF(A122="","",COUNTIF('Register'!$A$6:$A$505,A122))</f>
        <v/>
      </c>
      <c r="AE122" s="17" t="n"/>
      <c r="AF122" s="16" t="n"/>
      <c r="AG122" s="17" t="n"/>
      <c r="AH122" s="17" t="n"/>
      <c r="AI122" s="19">
        <f>IF(AE122="","",AE122+IF(AF122="",TA_NOC,AF122))</f>
        <v/>
      </c>
      <c r="AJ122" s="15">
        <f>IF(AE122="","",IF(AG122="",DATADATE,AG122)-AE122)</f>
        <v/>
      </c>
      <c r="AK122" s="15">
        <f>IF(OR(AI122="",AG122&lt;&gt;""),"",IF(DATADATE&gt;AI122,"OVERDUE",""))</f>
        <v/>
      </c>
      <c r="AL122" s="15">
        <f>IF(AH122="","",IF(AH122&lt;DATADATE,"EXPIRED",IF(AH122-DATADATE&lt;=WARN_EXP,"EXPIRING","")))</f>
        <v/>
      </c>
      <c r="AM122" s="16" t="n"/>
      <c r="AN122" s="16" t="n"/>
      <c r="AO122" s="16" t="n"/>
      <c r="AP122" s="16" t="n"/>
    </row>
    <row r="123">
      <c r="A123" s="15">
        <f>IF(AA123="","",PROJ&amp;"-NOC-"&amp;Z123&amp;"-"&amp;TEXT(AA123,"0000"))</f>
        <v/>
      </c>
      <c r="B123" s="15">
        <f>IF(AA123="","",PROJ)</f>
        <v/>
      </c>
      <c r="C123" s="16" t="n"/>
      <c r="D123" s="16" t="n"/>
      <c r="E123" s="16" t="n"/>
      <c r="F123" s="16" t="n"/>
      <c r="G123" s="16" t="n"/>
      <c r="H123" s="16" t="n"/>
      <c r="I123" s="16" t="n"/>
      <c r="J123" s="16" t="n"/>
      <c r="K123" s="16" t="n"/>
      <c r="L123" s="16" t="n"/>
      <c r="M123" s="16" t="n"/>
      <c r="N123" s="16" t="n"/>
      <c r="O123" s="17" t="n"/>
      <c r="P123" s="16" t="n"/>
      <c r="Q123" s="16" t="n"/>
      <c r="R123" s="16" t="n"/>
      <c r="S123" s="16" t="n"/>
      <c r="T123" s="16" t="n"/>
      <c r="U123" s="16" t="n"/>
      <c r="V123" s="16" t="n"/>
      <c r="W123" s="16" t="n"/>
      <c r="X123" s="16" t="n"/>
      <c r="Y123" s="16" t="n"/>
      <c r="Z123" s="16" t="n"/>
      <c r="AA123" s="16" t="n"/>
      <c r="AB123" s="18" t="n"/>
      <c r="AC123" s="15">
        <f>IF(A123="","",IF(AB123=_xlfn.MAXIFS('Register'!$AB$6:$AB$505,'Register'!$A$6:$A$505,A123),"Y","N"))</f>
        <v/>
      </c>
      <c r="AD123" s="15">
        <f>IF(A123="","",COUNTIF('Register'!$A$6:$A$505,A123))</f>
        <v/>
      </c>
      <c r="AE123" s="17" t="n"/>
      <c r="AF123" s="16" t="n"/>
      <c r="AG123" s="17" t="n"/>
      <c r="AH123" s="17" t="n"/>
      <c r="AI123" s="19">
        <f>IF(AE123="","",AE123+IF(AF123="",TA_NOC,AF123))</f>
        <v/>
      </c>
      <c r="AJ123" s="15">
        <f>IF(AE123="","",IF(AG123="",DATADATE,AG123)-AE123)</f>
        <v/>
      </c>
      <c r="AK123" s="15">
        <f>IF(OR(AI123="",AG123&lt;&gt;""),"",IF(DATADATE&gt;AI123,"OVERDUE",""))</f>
        <v/>
      </c>
      <c r="AL123" s="15">
        <f>IF(AH123="","",IF(AH123&lt;DATADATE,"EXPIRED",IF(AH123-DATADATE&lt;=WARN_EXP,"EXPIRING","")))</f>
        <v/>
      </c>
      <c r="AM123" s="16" t="n"/>
      <c r="AN123" s="16" t="n"/>
      <c r="AO123" s="16" t="n"/>
      <c r="AP123" s="16" t="n"/>
    </row>
    <row r="124">
      <c r="A124" s="15">
        <f>IF(AA124="","",PROJ&amp;"-NOC-"&amp;Z124&amp;"-"&amp;TEXT(AA124,"0000"))</f>
        <v/>
      </c>
      <c r="B124" s="15">
        <f>IF(AA124="","",PROJ)</f>
        <v/>
      </c>
      <c r="C124" s="16" t="n"/>
      <c r="D124" s="16" t="n"/>
      <c r="E124" s="16" t="n"/>
      <c r="F124" s="16" t="n"/>
      <c r="G124" s="16" t="n"/>
      <c r="H124" s="16" t="n"/>
      <c r="I124" s="16" t="n"/>
      <c r="J124" s="16" t="n"/>
      <c r="K124" s="16" t="n"/>
      <c r="L124" s="16" t="n"/>
      <c r="M124" s="16" t="n"/>
      <c r="N124" s="16" t="n"/>
      <c r="O124" s="17" t="n"/>
      <c r="P124" s="16" t="n"/>
      <c r="Q124" s="16" t="n"/>
      <c r="R124" s="16" t="n"/>
      <c r="S124" s="16" t="n"/>
      <c r="T124" s="16" t="n"/>
      <c r="U124" s="16" t="n"/>
      <c r="V124" s="16" t="n"/>
      <c r="W124" s="16" t="n"/>
      <c r="X124" s="16" t="n"/>
      <c r="Y124" s="16" t="n"/>
      <c r="Z124" s="16" t="n"/>
      <c r="AA124" s="16" t="n"/>
      <c r="AB124" s="18" t="n"/>
      <c r="AC124" s="15">
        <f>IF(A124="","",IF(AB124=_xlfn.MAXIFS('Register'!$AB$6:$AB$505,'Register'!$A$6:$A$505,A124),"Y","N"))</f>
        <v/>
      </c>
      <c r="AD124" s="15">
        <f>IF(A124="","",COUNTIF('Register'!$A$6:$A$505,A124))</f>
        <v/>
      </c>
      <c r="AE124" s="17" t="n"/>
      <c r="AF124" s="16" t="n"/>
      <c r="AG124" s="17" t="n"/>
      <c r="AH124" s="17" t="n"/>
      <c r="AI124" s="19">
        <f>IF(AE124="","",AE124+IF(AF124="",TA_NOC,AF124))</f>
        <v/>
      </c>
      <c r="AJ124" s="15">
        <f>IF(AE124="","",IF(AG124="",DATADATE,AG124)-AE124)</f>
        <v/>
      </c>
      <c r="AK124" s="15">
        <f>IF(OR(AI124="",AG124&lt;&gt;""),"",IF(DATADATE&gt;AI124,"OVERDUE",""))</f>
        <v/>
      </c>
      <c r="AL124" s="15">
        <f>IF(AH124="","",IF(AH124&lt;DATADATE,"EXPIRED",IF(AH124-DATADATE&lt;=WARN_EXP,"EXPIRING","")))</f>
        <v/>
      </c>
      <c r="AM124" s="16" t="n"/>
      <c r="AN124" s="16" t="n"/>
      <c r="AO124" s="16" t="n"/>
      <c r="AP124" s="16" t="n"/>
    </row>
    <row r="125">
      <c r="A125" s="15">
        <f>IF(AA125="","",PROJ&amp;"-NOC-"&amp;Z125&amp;"-"&amp;TEXT(AA125,"0000"))</f>
        <v/>
      </c>
      <c r="B125" s="15">
        <f>IF(AA125="","",PROJ)</f>
        <v/>
      </c>
      <c r="C125" s="16" t="n"/>
      <c r="D125" s="16" t="n"/>
      <c r="E125" s="16" t="n"/>
      <c r="F125" s="16" t="n"/>
      <c r="G125" s="16" t="n"/>
      <c r="H125" s="16" t="n"/>
      <c r="I125" s="16" t="n"/>
      <c r="J125" s="16" t="n"/>
      <c r="K125" s="16" t="n"/>
      <c r="L125" s="16" t="n"/>
      <c r="M125" s="16" t="n"/>
      <c r="N125" s="16" t="n"/>
      <c r="O125" s="17" t="n"/>
      <c r="P125" s="16" t="n"/>
      <c r="Q125" s="16" t="n"/>
      <c r="R125" s="16" t="n"/>
      <c r="S125" s="16" t="n"/>
      <c r="T125" s="16" t="n"/>
      <c r="U125" s="16" t="n"/>
      <c r="V125" s="16" t="n"/>
      <c r="W125" s="16" t="n"/>
      <c r="X125" s="16" t="n"/>
      <c r="Y125" s="16" t="n"/>
      <c r="Z125" s="16" t="n"/>
      <c r="AA125" s="16" t="n"/>
      <c r="AB125" s="18" t="n"/>
      <c r="AC125" s="15">
        <f>IF(A125="","",IF(AB125=_xlfn.MAXIFS('Register'!$AB$6:$AB$505,'Register'!$A$6:$A$505,A125),"Y","N"))</f>
        <v/>
      </c>
      <c r="AD125" s="15">
        <f>IF(A125="","",COUNTIF('Register'!$A$6:$A$505,A125))</f>
        <v/>
      </c>
      <c r="AE125" s="17" t="n"/>
      <c r="AF125" s="16" t="n"/>
      <c r="AG125" s="17" t="n"/>
      <c r="AH125" s="17" t="n"/>
      <c r="AI125" s="19">
        <f>IF(AE125="","",AE125+IF(AF125="",TA_NOC,AF125))</f>
        <v/>
      </c>
      <c r="AJ125" s="15">
        <f>IF(AE125="","",IF(AG125="",DATADATE,AG125)-AE125)</f>
        <v/>
      </c>
      <c r="AK125" s="15">
        <f>IF(OR(AI125="",AG125&lt;&gt;""),"",IF(DATADATE&gt;AI125,"OVERDUE",""))</f>
        <v/>
      </c>
      <c r="AL125" s="15">
        <f>IF(AH125="","",IF(AH125&lt;DATADATE,"EXPIRED",IF(AH125-DATADATE&lt;=WARN_EXP,"EXPIRING","")))</f>
        <v/>
      </c>
      <c r="AM125" s="16" t="n"/>
      <c r="AN125" s="16" t="n"/>
      <c r="AO125" s="16" t="n"/>
      <c r="AP125" s="16" t="n"/>
    </row>
    <row r="126">
      <c r="A126" s="15">
        <f>IF(AA126="","",PROJ&amp;"-NOC-"&amp;Z126&amp;"-"&amp;TEXT(AA126,"0000"))</f>
        <v/>
      </c>
      <c r="B126" s="15">
        <f>IF(AA126="","",PROJ)</f>
        <v/>
      </c>
      <c r="C126" s="16" t="n"/>
      <c r="D126" s="16" t="n"/>
      <c r="E126" s="16" t="n"/>
      <c r="F126" s="16" t="n"/>
      <c r="G126" s="16" t="n"/>
      <c r="H126" s="16" t="n"/>
      <c r="I126" s="16" t="n"/>
      <c r="J126" s="16" t="n"/>
      <c r="K126" s="16" t="n"/>
      <c r="L126" s="16" t="n"/>
      <c r="M126" s="16" t="n"/>
      <c r="N126" s="16" t="n"/>
      <c r="O126" s="17" t="n"/>
      <c r="P126" s="16" t="n"/>
      <c r="Q126" s="16" t="n"/>
      <c r="R126" s="16" t="n"/>
      <c r="S126" s="16" t="n"/>
      <c r="T126" s="16" t="n"/>
      <c r="U126" s="16" t="n"/>
      <c r="V126" s="16" t="n"/>
      <c r="W126" s="16" t="n"/>
      <c r="X126" s="16" t="n"/>
      <c r="Y126" s="16" t="n"/>
      <c r="Z126" s="16" t="n"/>
      <c r="AA126" s="16" t="n"/>
      <c r="AB126" s="18" t="n"/>
      <c r="AC126" s="15">
        <f>IF(A126="","",IF(AB126=_xlfn.MAXIFS('Register'!$AB$6:$AB$505,'Register'!$A$6:$A$505,A126),"Y","N"))</f>
        <v/>
      </c>
      <c r="AD126" s="15">
        <f>IF(A126="","",COUNTIF('Register'!$A$6:$A$505,A126))</f>
        <v/>
      </c>
      <c r="AE126" s="17" t="n"/>
      <c r="AF126" s="16" t="n"/>
      <c r="AG126" s="17" t="n"/>
      <c r="AH126" s="17" t="n"/>
      <c r="AI126" s="19">
        <f>IF(AE126="","",AE126+IF(AF126="",TA_NOC,AF126))</f>
        <v/>
      </c>
      <c r="AJ126" s="15">
        <f>IF(AE126="","",IF(AG126="",DATADATE,AG126)-AE126)</f>
        <v/>
      </c>
      <c r="AK126" s="15">
        <f>IF(OR(AI126="",AG126&lt;&gt;""),"",IF(DATADATE&gt;AI126,"OVERDUE",""))</f>
        <v/>
      </c>
      <c r="AL126" s="15">
        <f>IF(AH126="","",IF(AH126&lt;DATADATE,"EXPIRED",IF(AH126-DATADATE&lt;=WARN_EXP,"EXPIRING","")))</f>
        <v/>
      </c>
      <c r="AM126" s="16" t="n"/>
      <c r="AN126" s="16" t="n"/>
      <c r="AO126" s="16" t="n"/>
      <c r="AP126" s="16" t="n"/>
    </row>
    <row r="127">
      <c r="A127" s="15">
        <f>IF(AA127="","",PROJ&amp;"-NOC-"&amp;Z127&amp;"-"&amp;TEXT(AA127,"0000"))</f>
        <v/>
      </c>
      <c r="B127" s="15">
        <f>IF(AA127="","",PROJ)</f>
        <v/>
      </c>
      <c r="C127" s="16" t="n"/>
      <c r="D127" s="16" t="n"/>
      <c r="E127" s="16" t="n"/>
      <c r="F127" s="16" t="n"/>
      <c r="G127" s="16" t="n"/>
      <c r="H127" s="16" t="n"/>
      <c r="I127" s="16" t="n"/>
      <c r="J127" s="16" t="n"/>
      <c r="K127" s="16" t="n"/>
      <c r="L127" s="16" t="n"/>
      <c r="M127" s="16" t="n"/>
      <c r="N127" s="16" t="n"/>
      <c r="O127" s="17" t="n"/>
      <c r="P127" s="16" t="n"/>
      <c r="Q127" s="16" t="n"/>
      <c r="R127" s="16" t="n"/>
      <c r="S127" s="16" t="n"/>
      <c r="T127" s="16" t="n"/>
      <c r="U127" s="16" t="n"/>
      <c r="V127" s="16" t="n"/>
      <c r="W127" s="16" t="n"/>
      <c r="X127" s="16" t="n"/>
      <c r="Y127" s="16" t="n"/>
      <c r="Z127" s="16" t="n"/>
      <c r="AA127" s="16" t="n"/>
      <c r="AB127" s="18" t="n"/>
      <c r="AC127" s="15">
        <f>IF(A127="","",IF(AB127=_xlfn.MAXIFS('Register'!$AB$6:$AB$505,'Register'!$A$6:$A$505,A127),"Y","N"))</f>
        <v/>
      </c>
      <c r="AD127" s="15">
        <f>IF(A127="","",COUNTIF('Register'!$A$6:$A$505,A127))</f>
        <v/>
      </c>
      <c r="AE127" s="17" t="n"/>
      <c r="AF127" s="16" t="n"/>
      <c r="AG127" s="17" t="n"/>
      <c r="AH127" s="17" t="n"/>
      <c r="AI127" s="19">
        <f>IF(AE127="","",AE127+IF(AF127="",TA_NOC,AF127))</f>
        <v/>
      </c>
      <c r="AJ127" s="15">
        <f>IF(AE127="","",IF(AG127="",DATADATE,AG127)-AE127)</f>
        <v/>
      </c>
      <c r="AK127" s="15">
        <f>IF(OR(AI127="",AG127&lt;&gt;""),"",IF(DATADATE&gt;AI127,"OVERDUE",""))</f>
        <v/>
      </c>
      <c r="AL127" s="15">
        <f>IF(AH127="","",IF(AH127&lt;DATADATE,"EXPIRED",IF(AH127-DATADATE&lt;=WARN_EXP,"EXPIRING","")))</f>
        <v/>
      </c>
      <c r="AM127" s="16" t="n"/>
      <c r="AN127" s="16" t="n"/>
      <c r="AO127" s="16" t="n"/>
      <c r="AP127" s="16" t="n"/>
    </row>
    <row r="128">
      <c r="A128" s="15">
        <f>IF(AA128="","",PROJ&amp;"-NOC-"&amp;Z128&amp;"-"&amp;TEXT(AA128,"0000"))</f>
        <v/>
      </c>
      <c r="B128" s="15">
        <f>IF(AA128="","",PROJ)</f>
        <v/>
      </c>
      <c r="C128" s="16" t="n"/>
      <c r="D128" s="16" t="n"/>
      <c r="E128" s="16" t="n"/>
      <c r="F128" s="16" t="n"/>
      <c r="G128" s="16" t="n"/>
      <c r="H128" s="16" t="n"/>
      <c r="I128" s="16" t="n"/>
      <c r="J128" s="16" t="n"/>
      <c r="K128" s="16" t="n"/>
      <c r="L128" s="16" t="n"/>
      <c r="M128" s="16" t="n"/>
      <c r="N128" s="16" t="n"/>
      <c r="O128" s="17" t="n"/>
      <c r="P128" s="16" t="n"/>
      <c r="Q128" s="16" t="n"/>
      <c r="R128" s="16" t="n"/>
      <c r="S128" s="16" t="n"/>
      <c r="T128" s="16" t="n"/>
      <c r="U128" s="16" t="n"/>
      <c r="V128" s="16" t="n"/>
      <c r="W128" s="16" t="n"/>
      <c r="X128" s="16" t="n"/>
      <c r="Y128" s="16" t="n"/>
      <c r="Z128" s="16" t="n"/>
      <c r="AA128" s="16" t="n"/>
      <c r="AB128" s="18" t="n"/>
      <c r="AC128" s="15">
        <f>IF(A128="","",IF(AB128=_xlfn.MAXIFS('Register'!$AB$6:$AB$505,'Register'!$A$6:$A$505,A128),"Y","N"))</f>
        <v/>
      </c>
      <c r="AD128" s="15">
        <f>IF(A128="","",COUNTIF('Register'!$A$6:$A$505,A128))</f>
        <v/>
      </c>
      <c r="AE128" s="17" t="n"/>
      <c r="AF128" s="16" t="n"/>
      <c r="AG128" s="17" t="n"/>
      <c r="AH128" s="17" t="n"/>
      <c r="AI128" s="19">
        <f>IF(AE128="","",AE128+IF(AF128="",TA_NOC,AF128))</f>
        <v/>
      </c>
      <c r="AJ128" s="15">
        <f>IF(AE128="","",IF(AG128="",DATADATE,AG128)-AE128)</f>
        <v/>
      </c>
      <c r="AK128" s="15">
        <f>IF(OR(AI128="",AG128&lt;&gt;""),"",IF(DATADATE&gt;AI128,"OVERDUE",""))</f>
        <v/>
      </c>
      <c r="AL128" s="15">
        <f>IF(AH128="","",IF(AH128&lt;DATADATE,"EXPIRED",IF(AH128-DATADATE&lt;=WARN_EXP,"EXPIRING","")))</f>
        <v/>
      </c>
      <c r="AM128" s="16" t="n"/>
      <c r="AN128" s="16" t="n"/>
      <c r="AO128" s="16" t="n"/>
      <c r="AP128" s="16" t="n"/>
    </row>
    <row r="129">
      <c r="A129" s="15">
        <f>IF(AA129="","",PROJ&amp;"-NOC-"&amp;Z129&amp;"-"&amp;TEXT(AA129,"0000"))</f>
        <v/>
      </c>
      <c r="B129" s="15">
        <f>IF(AA129="","",PROJ)</f>
        <v/>
      </c>
      <c r="C129" s="16" t="n"/>
      <c r="D129" s="16" t="n"/>
      <c r="E129" s="16" t="n"/>
      <c r="F129" s="16" t="n"/>
      <c r="G129" s="16" t="n"/>
      <c r="H129" s="16" t="n"/>
      <c r="I129" s="16" t="n"/>
      <c r="J129" s="16" t="n"/>
      <c r="K129" s="16" t="n"/>
      <c r="L129" s="16" t="n"/>
      <c r="M129" s="16" t="n"/>
      <c r="N129" s="16" t="n"/>
      <c r="O129" s="17" t="n"/>
      <c r="P129" s="16" t="n"/>
      <c r="Q129" s="16" t="n"/>
      <c r="R129" s="16" t="n"/>
      <c r="S129" s="16" t="n"/>
      <c r="T129" s="16" t="n"/>
      <c r="U129" s="16" t="n"/>
      <c r="V129" s="16" t="n"/>
      <c r="W129" s="16" t="n"/>
      <c r="X129" s="16" t="n"/>
      <c r="Y129" s="16" t="n"/>
      <c r="Z129" s="16" t="n"/>
      <c r="AA129" s="16" t="n"/>
      <c r="AB129" s="18" t="n"/>
      <c r="AC129" s="15">
        <f>IF(A129="","",IF(AB129=_xlfn.MAXIFS('Register'!$AB$6:$AB$505,'Register'!$A$6:$A$505,A129),"Y","N"))</f>
        <v/>
      </c>
      <c r="AD129" s="15">
        <f>IF(A129="","",COUNTIF('Register'!$A$6:$A$505,A129))</f>
        <v/>
      </c>
      <c r="AE129" s="17" t="n"/>
      <c r="AF129" s="16" t="n"/>
      <c r="AG129" s="17" t="n"/>
      <c r="AH129" s="17" t="n"/>
      <c r="AI129" s="19">
        <f>IF(AE129="","",AE129+IF(AF129="",TA_NOC,AF129))</f>
        <v/>
      </c>
      <c r="AJ129" s="15">
        <f>IF(AE129="","",IF(AG129="",DATADATE,AG129)-AE129)</f>
        <v/>
      </c>
      <c r="AK129" s="15">
        <f>IF(OR(AI129="",AG129&lt;&gt;""),"",IF(DATADATE&gt;AI129,"OVERDUE",""))</f>
        <v/>
      </c>
      <c r="AL129" s="15">
        <f>IF(AH129="","",IF(AH129&lt;DATADATE,"EXPIRED",IF(AH129-DATADATE&lt;=WARN_EXP,"EXPIRING","")))</f>
        <v/>
      </c>
      <c r="AM129" s="16" t="n"/>
      <c r="AN129" s="16" t="n"/>
      <c r="AO129" s="16" t="n"/>
      <c r="AP129" s="16" t="n"/>
    </row>
    <row r="130">
      <c r="A130" s="15">
        <f>IF(AA130="","",PROJ&amp;"-NOC-"&amp;Z130&amp;"-"&amp;TEXT(AA130,"0000"))</f>
        <v/>
      </c>
      <c r="B130" s="15">
        <f>IF(AA130="","",PROJ)</f>
        <v/>
      </c>
      <c r="C130" s="16" t="n"/>
      <c r="D130" s="16" t="n"/>
      <c r="E130" s="16" t="n"/>
      <c r="F130" s="16" t="n"/>
      <c r="G130" s="16" t="n"/>
      <c r="H130" s="16" t="n"/>
      <c r="I130" s="16" t="n"/>
      <c r="J130" s="16" t="n"/>
      <c r="K130" s="16" t="n"/>
      <c r="L130" s="16" t="n"/>
      <c r="M130" s="16" t="n"/>
      <c r="N130" s="16" t="n"/>
      <c r="O130" s="17" t="n"/>
      <c r="P130" s="16" t="n"/>
      <c r="Q130" s="16" t="n"/>
      <c r="R130" s="16" t="n"/>
      <c r="S130" s="16" t="n"/>
      <c r="T130" s="16" t="n"/>
      <c r="U130" s="16" t="n"/>
      <c r="V130" s="16" t="n"/>
      <c r="W130" s="16" t="n"/>
      <c r="X130" s="16" t="n"/>
      <c r="Y130" s="16" t="n"/>
      <c r="Z130" s="16" t="n"/>
      <c r="AA130" s="16" t="n"/>
      <c r="AB130" s="18" t="n"/>
      <c r="AC130" s="15">
        <f>IF(A130="","",IF(AB130=_xlfn.MAXIFS('Register'!$AB$6:$AB$505,'Register'!$A$6:$A$505,A130),"Y","N"))</f>
        <v/>
      </c>
      <c r="AD130" s="15">
        <f>IF(A130="","",COUNTIF('Register'!$A$6:$A$505,A130))</f>
        <v/>
      </c>
      <c r="AE130" s="17" t="n"/>
      <c r="AF130" s="16" t="n"/>
      <c r="AG130" s="17" t="n"/>
      <c r="AH130" s="17" t="n"/>
      <c r="AI130" s="19">
        <f>IF(AE130="","",AE130+IF(AF130="",TA_NOC,AF130))</f>
        <v/>
      </c>
      <c r="AJ130" s="15">
        <f>IF(AE130="","",IF(AG130="",DATADATE,AG130)-AE130)</f>
        <v/>
      </c>
      <c r="AK130" s="15">
        <f>IF(OR(AI130="",AG130&lt;&gt;""),"",IF(DATADATE&gt;AI130,"OVERDUE",""))</f>
        <v/>
      </c>
      <c r="AL130" s="15">
        <f>IF(AH130="","",IF(AH130&lt;DATADATE,"EXPIRED",IF(AH130-DATADATE&lt;=WARN_EXP,"EXPIRING","")))</f>
        <v/>
      </c>
      <c r="AM130" s="16" t="n"/>
      <c r="AN130" s="16" t="n"/>
      <c r="AO130" s="16" t="n"/>
      <c r="AP130" s="16" t="n"/>
    </row>
    <row r="131">
      <c r="A131" s="15">
        <f>IF(AA131="","",PROJ&amp;"-NOC-"&amp;Z131&amp;"-"&amp;TEXT(AA131,"0000"))</f>
        <v/>
      </c>
      <c r="B131" s="15">
        <f>IF(AA131="","",PROJ)</f>
        <v/>
      </c>
      <c r="C131" s="16" t="n"/>
      <c r="D131" s="16" t="n"/>
      <c r="E131" s="16" t="n"/>
      <c r="F131" s="16" t="n"/>
      <c r="G131" s="16" t="n"/>
      <c r="H131" s="16" t="n"/>
      <c r="I131" s="16" t="n"/>
      <c r="J131" s="16" t="n"/>
      <c r="K131" s="16" t="n"/>
      <c r="L131" s="16" t="n"/>
      <c r="M131" s="16" t="n"/>
      <c r="N131" s="16" t="n"/>
      <c r="O131" s="17" t="n"/>
      <c r="P131" s="16" t="n"/>
      <c r="Q131" s="16" t="n"/>
      <c r="R131" s="16" t="n"/>
      <c r="S131" s="16" t="n"/>
      <c r="T131" s="16" t="n"/>
      <c r="U131" s="16" t="n"/>
      <c r="V131" s="16" t="n"/>
      <c r="W131" s="16" t="n"/>
      <c r="X131" s="16" t="n"/>
      <c r="Y131" s="16" t="n"/>
      <c r="Z131" s="16" t="n"/>
      <c r="AA131" s="16" t="n"/>
      <c r="AB131" s="18" t="n"/>
      <c r="AC131" s="15">
        <f>IF(A131="","",IF(AB131=_xlfn.MAXIFS('Register'!$AB$6:$AB$505,'Register'!$A$6:$A$505,A131),"Y","N"))</f>
        <v/>
      </c>
      <c r="AD131" s="15">
        <f>IF(A131="","",COUNTIF('Register'!$A$6:$A$505,A131))</f>
        <v/>
      </c>
      <c r="AE131" s="17" t="n"/>
      <c r="AF131" s="16" t="n"/>
      <c r="AG131" s="17" t="n"/>
      <c r="AH131" s="17" t="n"/>
      <c r="AI131" s="19">
        <f>IF(AE131="","",AE131+IF(AF131="",TA_NOC,AF131))</f>
        <v/>
      </c>
      <c r="AJ131" s="15">
        <f>IF(AE131="","",IF(AG131="",DATADATE,AG131)-AE131)</f>
        <v/>
      </c>
      <c r="AK131" s="15">
        <f>IF(OR(AI131="",AG131&lt;&gt;""),"",IF(DATADATE&gt;AI131,"OVERDUE",""))</f>
        <v/>
      </c>
      <c r="AL131" s="15">
        <f>IF(AH131="","",IF(AH131&lt;DATADATE,"EXPIRED",IF(AH131-DATADATE&lt;=WARN_EXP,"EXPIRING","")))</f>
        <v/>
      </c>
      <c r="AM131" s="16" t="n"/>
      <c r="AN131" s="16" t="n"/>
      <c r="AO131" s="16" t="n"/>
      <c r="AP131" s="16" t="n"/>
    </row>
    <row r="132">
      <c r="A132" s="15">
        <f>IF(AA132="","",PROJ&amp;"-NOC-"&amp;Z132&amp;"-"&amp;TEXT(AA132,"0000"))</f>
        <v/>
      </c>
      <c r="B132" s="15">
        <f>IF(AA132="","",PROJ)</f>
        <v/>
      </c>
      <c r="C132" s="16" t="n"/>
      <c r="D132" s="16" t="n"/>
      <c r="E132" s="16" t="n"/>
      <c r="F132" s="16" t="n"/>
      <c r="G132" s="16" t="n"/>
      <c r="H132" s="16" t="n"/>
      <c r="I132" s="16" t="n"/>
      <c r="J132" s="16" t="n"/>
      <c r="K132" s="16" t="n"/>
      <c r="L132" s="16" t="n"/>
      <c r="M132" s="16" t="n"/>
      <c r="N132" s="16" t="n"/>
      <c r="O132" s="17" t="n"/>
      <c r="P132" s="16" t="n"/>
      <c r="Q132" s="16" t="n"/>
      <c r="R132" s="16" t="n"/>
      <c r="S132" s="16" t="n"/>
      <c r="T132" s="16" t="n"/>
      <c r="U132" s="16" t="n"/>
      <c r="V132" s="16" t="n"/>
      <c r="W132" s="16" t="n"/>
      <c r="X132" s="16" t="n"/>
      <c r="Y132" s="16" t="n"/>
      <c r="Z132" s="16" t="n"/>
      <c r="AA132" s="16" t="n"/>
      <c r="AB132" s="18" t="n"/>
      <c r="AC132" s="15">
        <f>IF(A132="","",IF(AB132=_xlfn.MAXIFS('Register'!$AB$6:$AB$505,'Register'!$A$6:$A$505,A132),"Y","N"))</f>
        <v/>
      </c>
      <c r="AD132" s="15">
        <f>IF(A132="","",COUNTIF('Register'!$A$6:$A$505,A132))</f>
        <v/>
      </c>
      <c r="AE132" s="17" t="n"/>
      <c r="AF132" s="16" t="n"/>
      <c r="AG132" s="17" t="n"/>
      <c r="AH132" s="17" t="n"/>
      <c r="AI132" s="19">
        <f>IF(AE132="","",AE132+IF(AF132="",TA_NOC,AF132))</f>
        <v/>
      </c>
      <c r="AJ132" s="15">
        <f>IF(AE132="","",IF(AG132="",DATADATE,AG132)-AE132)</f>
        <v/>
      </c>
      <c r="AK132" s="15">
        <f>IF(OR(AI132="",AG132&lt;&gt;""),"",IF(DATADATE&gt;AI132,"OVERDUE",""))</f>
        <v/>
      </c>
      <c r="AL132" s="15">
        <f>IF(AH132="","",IF(AH132&lt;DATADATE,"EXPIRED",IF(AH132-DATADATE&lt;=WARN_EXP,"EXPIRING","")))</f>
        <v/>
      </c>
      <c r="AM132" s="16" t="n"/>
      <c r="AN132" s="16" t="n"/>
      <c r="AO132" s="16" t="n"/>
      <c r="AP132" s="16" t="n"/>
    </row>
    <row r="133">
      <c r="A133" s="15">
        <f>IF(AA133="","",PROJ&amp;"-NOC-"&amp;Z133&amp;"-"&amp;TEXT(AA133,"0000"))</f>
        <v/>
      </c>
      <c r="B133" s="15">
        <f>IF(AA133="","",PROJ)</f>
        <v/>
      </c>
      <c r="C133" s="16" t="n"/>
      <c r="D133" s="16" t="n"/>
      <c r="E133" s="16" t="n"/>
      <c r="F133" s="16" t="n"/>
      <c r="G133" s="16" t="n"/>
      <c r="H133" s="16" t="n"/>
      <c r="I133" s="16" t="n"/>
      <c r="J133" s="16" t="n"/>
      <c r="K133" s="16" t="n"/>
      <c r="L133" s="16" t="n"/>
      <c r="M133" s="16" t="n"/>
      <c r="N133" s="16" t="n"/>
      <c r="O133" s="17" t="n"/>
      <c r="P133" s="16" t="n"/>
      <c r="Q133" s="16" t="n"/>
      <c r="R133" s="16" t="n"/>
      <c r="S133" s="16" t="n"/>
      <c r="T133" s="16" t="n"/>
      <c r="U133" s="16" t="n"/>
      <c r="V133" s="16" t="n"/>
      <c r="W133" s="16" t="n"/>
      <c r="X133" s="16" t="n"/>
      <c r="Y133" s="16" t="n"/>
      <c r="Z133" s="16" t="n"/>
      <c r="AA133" s="16" t="n"/>
      <c r="AB133" s="18" t="n"/>
      <c r="AC133" s="15">
        <f>IF(A133="","",IF(AB133=_xlfn.MAXIFS('Register'!$AB$6:$AB$505,'Register'!$A$6:$A$505,A133),"Y","N"))</f>
        <v/>
      </c>
      <c r="AD133" s="15">
        <f>IF(A133="","",COUNTIF('Register'!$A$6:$A$505,A133))</f>
        <v/>
      </c>
      <c r="AE133" s="17" t="n"/>
      <c r="AF133" s="16" t="n"/>
      <c r="AG133" s="17" t="n"/>
      <c r="AH133" s="17" t="n"/>
      <c r="AI133" s="19">
        <f>IF(AE133="","",AE133+IF(AF133="",TA_NOC,AF133))</f>
        <v/>
      </c>
      <c r="AJ133" s="15">
        <f>IF(AE133="","",IF(AG133="",DATADATE,AG133)-AE133)</f>
        <v/>
      </c>
      <c r="AK133" s="15">
        <f>IF(OR(AI133="",AG133&lt;&gt;""),"",IF(DATADATE&gt;AI133,"OVERDUE",""))</f>
        <v/>
      </c>
      <c r="AL133" s="15">
        <f>IF(AH133="","",IF(AH133&lt;DATADATE,"EXPIRED",IF(AH133-DATADATE&lt;=WARN_EXP,"EXPIRING","")))</f>
        <v/>
      </c>
      <c r="AM133" s="16" t="n"/>
      <c r="AN133" s="16" t="n"/>
      <c r="AO133" s="16" t="n"/>
      <c r="AP133" s="16" t="n"/>
    </row>
    <row r="134">
      <c r="A134" s="15">
        <f>IF(AA134="","",PROJ&amp;"-NOC-"&amp;Z134&amp;"-"&amp;TEXT(AA134,"0000"))</f>
        <v/>
      </c>
      <c r="B134" s="15">
        <f>IF(AA134="","",PROJ)</f>
        <v/>
      </c>
      <c r="C134" s="16" t="n"/>
      <c r="D134" s="16" t="n"/>
      <c r="E134" s="16" t="n"/>
      <c r="F134" s="16" t="n"/>
      <c r="G134" s="16" t="n"/>
      <c r="H134" s="16" t="n"/>
      <c r="I134" s="16" t="n"/>
      <c r="J134" s="16" t="n"/>
      <c r="K134" s="16" t="n"/>
      <c r="L134" s="16" t="n"/>
      <c r="M134" s="16" t="n"/>
      <c r="N134" s="16" t="n"/>
      <c r="O134" s="17" t="n"/>
      <c r="P134" s="16" t="n"/>
      <c r="Q134" s="16" t="n"/>
      <c r="R134" s="16" t="n"/>
      <c r="S134" s="16" t="n"/>
      <c r="T134" s="16" t="n"/>
      <c r="U134" s="16" t="n"/>
      <c r="V134" s="16" t="n"/>
      <c r="W134" s="16" t="n"/>
      <c r="X134" s="16" t="n"/>
      <c r="Y134" s="16" t="n"/>
      <c r="Z134" s="16" t="n"/>
      <c r="AA134" s="16" t="n"/>
      <c r="AB134" s="18" t="n"/>
      <c r="AC134" s="15">
        <f>IF(A134="","",IF(AB134=_xlfn.MAXIFS('Register'!$AB$6:$AB$505,'Register'!$A$6:$A$505,A134),"Y","N"))</f>
        <v/>
      </c>
      <c r="AD134" s="15">
        <f>IF(A134="","",COUNTIF('Register'!$A$6:$A$505,A134))</f>
        <v/>
      </c>
      <c r="AE134" s="17" t="n"/>
      <c r="AF134" s="16" t="n"/>
      <c r="AG134" s="17" t="n"/>
      <c r="AH134" s="17" t="n"/>
      <c r="AI134" s="19">
        <f>IF(AE134="","",AE134+IF(AF134="",TA_NOC,AF134))</f>
        <v/>
      </c>
      <c r="AJ134" s="15">
        <f>IF(AE134="","",IF(AG134="",DATADATE,AG134)-AE134)</f>
        <v/>
      </c>
      <c r="AK134" s="15">
        <f>IF(OR(AI134="",AG134&lt;&gt;""),"",IF(DATADATE&gt;AI134,"OVERDUE",""))</f>
        <v/>
      </c>
      <c r="AL134" s="15">
        <f>IF(AH134="","",IF(AH134&lt;DATADATE,"EXPIRED",IF(AH134-DATADATE&lt;=WARN_EXP,"EXPIRING","")))</f>
        <v/>
      </c>
      <c r="AM134" s="16" t="n"/>
      <c r="AN134" s="16" t="n"/>
      <c r="AO134" s="16" t="n"/>
      <c r="AP134" s="16" t="n"/>
    </row>
    <row r="135">
      <c r="A135" s="15">
        <f>IF(AA135="","",PROJ&amp;"-NOC-"&amp;Z135&amp;"-"&amp;TEXT(AA135,"0000"))</f>
        <v/>
      </c>
      <c r="B135" s="15">
        <f>IF(AA135="","",PROJ)</f>
        <v/>
      </c>
      <c r="C135" s="16" t="n"/>
      <c r="D135" s="16" t="n"/>
      <c r="E135" s="16" t="n"/>
      <c r="F135" s="16" t="n"/>
      <c r="G135" s="16" t="n"/>
      <c r="H135" s="16" t="n"/>
      <c r="I135" s="16" t="n"/>
      <c r="J135" s="16" t="n"/>
      <c r="K135" s="16" t="n"/>
      <c r="L135" s="16" t="n"/>
      <c r="M135" s="16" t="n"/>
      <c r="N135" s="16" t="n"/>
      <c r="O135" s="17" t="n"/>
      <c r="P135" s="16" t="n"/>
      <c r="Q135" s="16" t="n"/>
      <c r="R135" s="16" t="n"/>
      <c r="S135" s="16" t="n"/>
      <c r="T135" s="16" t="n"/>
      <c r="U135" s="16" t="n"/>
      <c r="V135" s="16" t="n"/>
      <c r="W135" s="16" t="n"/>
      <c r="X135" s="16" t="n"/>
      <c r="Y135" s="16" t="n"/>
      <c r="Z135" s="16" t="n"/>
      <c r="AA135" s="16" t="n"/>
      <c r="AB135" s="18" t="n"/>
      <c r="AC135" s="15">
        <f>IF(A135="","",IF(AB135=_xlfn.MAXIFS('Register'!$AB$6:$AB$505,'Register'!$A$6:$A$505,A135),"Y","N"))</f>
        <v/>
      </c>
      <c r="AD135" s="15">
        <f>IF(A135="","",COUNTIF('Register'!$A$6:$A$505,A135))</f>
        <v/>
      </c>
      <c r="AE135" s="17" t="n"/>
      <c r="AF135" s="16" t="n"/>
      <c r="AG135" s="17" t="n"/>
      <c r="AH135" s="17" t="n"/>
      <c r="AI135" s="19">
        <f>IF(AE135="","",AE135+IF(AF135="",TA_NOC,AF135))</f>
        <v/>
      </c>
      <c r="AJ135" s="15">
        <f>IF(AE135="","",IF(AG135="",DATADATE,AG135)-AE135)</f>
        <v/>
      </c>
      <c r="AK135" s="15">
        <f>IF(OR(AI135="",AG135&lt;&gt;""),"",IF(DATADATE&gt;AI135,"OVERDUE",""))</f>
        <v/>
      </c>
      <c r="AL135" s="15">
        <f>IF(AH135="","",IF(AH135&lt;DATADATE,"EXPIRED",IF(AH135-DATADATE&lt;=WARN_EXP,"EXPIRING","")))</f>
        <v/>
      </c>
      <c r="AM135" s="16" t="n"/>
      <c r="AN135" s="16" t="n"/>
      <c r="AO135" s="16" t="n"/>
      <c r="AP135" s="16" t="n"/>
    </row>
    <row r="136">
      <c r="A136" s="15">
        <f>IF(AA136="","",PROJ&amp;"-NOC-"&amp;Z136&amp;"-"&amp;TEXT(AA136,"0000"))</f>
        <v/>
      </c>
      <c r="B136" s="15">
        <f>IF(AA136="","",PROJ)</f>
        <v/>
      </c>
      <c r="C136" s="16" t="n"/>
      <c r="D136" s="16" t="n"/>
      <c r="E136" s="16" t="n"/>
      <c r="F136" s="16" t="n"/>
      <c r="G136" s="16" t="n"/>
      <c r="H136" s="16" t="n"/>
      <c r="I136" s="16" t="n"/>
      <c r="J136" s="16" t="n"/>
      <c r="K136" s="16" t="n"/>
      <c r="L136" s="16" t="n"/>
      <c r="M136" s="16" t="n"/>
      <c r="N136" s="16" t="n"/>
      <c r="O136" s="17" t="n"/>
      <c r="P136" s="16" t="n"/>
      <c r="Q136" s="16" t="n"/>
      <c r="R136" s="16" t="n"/>
      <c r="S136" s="16" t="n"/>
      <c r="T136" s="16" t="n"/>
      <c r="U136" s="16" t="n"/>
      <c r="V136" s="16" t="n"/>
      <c r="W136" s="16" t="n"/>
      <c r="X136" s="16" t="n"/>
      <c r="Y136" s="16" t="n"/>
      <c r="Z136" s="16" t="n"/>
      <c r="AA136" s="16" t="n"/>
      <c r="AB136" s="18" t="n"/>
      <c r="AC136" s="15">
        <f>IF(A136="","",IF(AB136=_xlfn.MAXIFS('Register'!$AB$6:$AB$505,'Register'!$A$6:$A$505,A136),"Y","N"))</f>
        <v/>
      </c>
      <c r="AD136" s="15">
        <f>IF(A136="","",COUNTIF('Register'!$A$6:$A$505,A136))</f>
        <v/>
      </c>
      <c r="AE136" s="17" t="n"/>
      <c r="AF136" s="16" t="n"/>
      <c r="AG136" s="17" t="n"/>
      <c r="AH136" s="17" t="n"/>
      <c r="AI136" s="19">
        <f>IF(AE136="","",AE136+IF(AF136="",TA_NOC,AF136))</f>
        <v/>
      </c>
      <c r="AJ136" s="15">
        <f>IF(AE136="","",IF(AG136="",DATADATE,AG136)-AE136)</f>
        <v/>
      </c>
      <c r="AK136" s="15">
        <f>IF(OR(AI136="",AG136&lt;&gt;""),"",IF(DATADATE&gt;AI136,"OVERDUE",""))</f>
        <v/>
      </c>
      <c r="AL136" s="15">
        <f>IF(AH136="","",IF(AH136&lt;DATADATE,"EXPIRED",IF(AH136-DATADATE&lt;=WARN_EXP,"EXPIRING","")))</f>
        <v/>
      </c>
      <c r="AM136" s="16" t="n"/>
      <c r="AN136" s="16" t="n"/>
      <c r="AO136" s="16" t="n"/>
      <c r="AP136" s="16" t="n"/>
    </row>
    <row r="137">
      <c r="A137" s="15">
        <f>IF(AA137="","",PROJ&amp;"-NOC-"&amp;Z137&amp;"-"&amp;TEXT(AA137,"0000"))</f>
        <v/>
      </c>
      <c r="B137" s="15">
        <f>IF(AA137="","",PROJ)</f>
        <v/>
      </c>
      <c r="C137" s="16" t="n"/>
      <c r="D137" s="16" t="n"/>
      <c r="E137" s="16" t="n"/>
      <c r="F137" s="16" t="n"/>
      <c r="G137" s="16" t="n"/>
      <c r="H137" s="16" t="n"/>
      <c r="I137" s="16" t="n"/>
      <c r="J137" s="16" t="n"/>
      <c r="K137" s="16" t="n"/>
      <c r="L137" s="16" t="n"/>
      <c r="M137" s="16" t="n"/>
      <c r="N137" s="16" t="n"/>
      <c r="O137" s="17" t="n"/>
      <c r="P137" s="16" t="n"/>
      <c r="Q137" s="16" t="n"/>
      <c r="R137" s="16" t="n"/>
      <c r="S137" s="16" t="n"/>
      <c r="T137" s="16" t="n"/>
      <c r="U137" s="16" t="n"/>
      <c r="V137" s="16" t="n"/>
      <c r="W137" s="16" t="n"/>
      <c r="X137" s="16" t="n"/>
      <c r="Y137" s="16" t="n"/>
      <c r="Z137" s="16" t="n"/>
      <c r="AA137" s="16" t="n"/>
      <c r="AB137" s="18" t="n"/>
      <c r="AC137" s="15">
        <f>IF(A137="","",IF(AB137=_xlfn.MAXIFS('Register'!$AB$6:$AB$505,'Register'!$A$6:$A$505,A137),"Y","N"))</f>
        <v/>
      </c>
      <c r="AD137" s="15">
        <f>IF(A137="","",COUNTIF('Register'!$A$6:$A$505,A137))</f>
        <v/>
      </c>
      <c r="AE137" s="17" t="n"/>
      <c r="AF137" s="16" t="n"/>
      <c r="AG137" s="17" t="n"/>
      <c r="AH137" s="17" t="n"/>
      <c r="AI137" s="19">
        <f>IF(AE137="","",AE137+IF(AF137="",TA_NOC,AF137))</f>
        <v/>
      </c>
      <c r="AJ137" s="15">
        <f>IF(AE137="","",IF(AG137="",DATADATE,AG137)-AE137)</f>
        <v/>
      </c>
      <c r="AK137" s="15">
        <f>IF(OR(AI137="",AG137&lt;&gt;""),"",IF(DATADATE&gt;AI137,"OVERDUE",""))</f>
        <v/>
      </c>
      <c r="AL137" s="15">
        <f>IF(AH137="","",IF(AH137&lt;DATADATE,"EXPIRED",IF(AH137-DATADATE&lt;=WARN_EXP,"EXPIRING","")))</f>
        <v/>
      </c>
      <c r="AM137" s="16" t="n"/>
      <c r="AN137" s="16" t="n"/>
      <c r="AO137" s="16" t="n"/>
      <c r="AP137" s="16" t="n"/>
    </row>
    <row r="138">
      <c r="A138" s="15">
        <f>IF(AA138="","",PROJ&amp;"-NOC-"&amp;Z138&amp;"-"&amp;TEXT(AA138,"0000"))</f>
        <v/>
      </c>
      <c r="B138" s="15">
        <f>IF(AA138="","",PROJ)</f>
        <v/>
      </c>
      <c r="C138" s="16" t="n"/>
      <c r="D138" s="16" t="n"/>
      <c r="E138" s="16" t="n"/>
      <c r="F138" s="16" t="n"/>
      <c r="G138" s="16" t="n"/>
      <c r="H138" s="16" t="n"/>
      <c r="I138" s="16" t="n"/>
      <c r="J138" s="16" t="n"/>
      <c r="K138" s="16" t="n"/>
      <c r="L138" s="16" t="n"/>
      <c r="M138" s="16" t="n"/>
      <c r="N138" s="16" t="n"/>
      <c r="O138" s="17" t="n"/>
      <c r="P138" s="16" t="n"/>
      <c r="Q138" s="16" t="n"/>
      <c r="R138" s="16" t="n"/>
      <c r="S138" s="16" t="n"/>
      <c r="T138" s="16" t="n"/>
      <c r="U138" s="16" t="n"/>
      <c r="V138" s="16" t="n"/>
      <c r="W138" s="16" t="n"/>
      <c r="X138" s="16" t="n"/>
      <c r="Y138" s="16" t="n"/>
      <c r="Z138" s="16" t="n"/>
      <c r="AA138" s="16" t="n"/>
      <c r="AB138" s="18" t="n"/>
      <c r="AC138" s="15">
        <f>IF(A138="","",IF(AB138=_xlfn.MAXIFS('Register'!$AB$6:$AB$505,'Register'!$A$6:$A$505,A138),"Y","N"))</f>
        <v/>
      </c>
      <c r="AD138" s="15">
        <f>IF(A138="","",COUNTIF('Register'!$A$6:$A$505,A138))</f>
        <v/>
      </c>
      <c r="AE138" s="17" t="n"/>
      <c r="AF138" s="16" t="n"/>
      <c r="AG138" s="17" t="n"/>
      <c r="AH138" s="17" t="n"/>
      <c r="AI138" s="19">
        <f>IF(AE138="","",AE138+IF(AF138="",TA_NOC,AF138))</f>
        <v/>
      </c>
      <c r="AJ138" s="15">
        <f>IF(AE138="","",IF(AG138="",DATADATE,AG138)-AE138)</f>
        <v/>
      </c>
      <c r="AK138" s="15">
        <f>IF(OR(AI138="",AG138&lt;&gt;""),"",IF(DATADATE&gt;AI138,"OVERDUE",""))</f>
        <v/>
      </c>
      <c r="AL138" s="15">
        <f>IF(AH138="","",IF(AH138&lt;DATADATE,"EXPIRED",IF(AH138-DATADATE&lt;=WARN_EXP,"EXPIRING","")))</f>
        <v/>
      </c>
      <c r="AM138" s="16" t="n"/>
      <c r="AN138" s="16" t="n"/>
      <c r="AO138" s="16" t="n"/>
      <c r="AP138" s="16" t="n"/>
    </row>
    <row r="139">
      <c r="A139" s="15">
        <f>IF(AA139="","",PROJ&amp;"-NOC-"&amp;Z139&amp;"-"&amp;TEXT(AA139,"0000"))</f>
        <v/>
      </c>
      <c r="B139" s="15">
        <f>IF(AA139="","",PROJ)</f>
        <v/>
      </c>
      <c r="C139" s="16" t="n"/>
      <c r="D139" s="16" t="n"/>
      <c r="E139" s="16" t="n"/>
      <c r="F139" s="16" t="n"/>
      <c r="G139" s="16" t="n"/>
      <c r="H139" s="16" t="n"/>
      <c r="I139" s="16" t="n"/>
      <c r="J139" s="16" t="n"/>
      <c r="K139" s="16" t="n"/>
      <c r="L139" s="16" t="n"/>
      <c r="M139" s="16" t="n"/>
      <c r="N139" s="16" t="n"/>
      <c r="O139" s="17" t="n"/>
      <c r="P139" s="16" t="n"/>
      <c r="Q139" s="16" t="n"/>
      <c r="R139" s="16" t="n"/>
      <c r="S139" s="16" t="n"/>
      <c r="T139" s="16" t="n"/>
      <c r="U139" s="16" t="n"/>
      <c r="V139" s="16" t="n"/>
      <c r="W139" s="16" t="n"/>
      <c r="X139" s="16" t="n"/>
      <c r="Y139" s="16" t="n"/>
      <c r="Z139" s="16" t="n"/>
      <c r="AA139" s="16" t="n"/>
      <c r="AB139" s="18" t="n"/>
      <c r="AC139" s="15">
        <f>IF(A139="","",IF(AB139=_xlfn.MAXIFS('Register'!$AB$6:$AB$505,'Register'!$A$6:$A$505,A139),"Y","N"))</f>
        <v/>
      </c>
      <c r="AD139" s="15">
        <f>IF(A139="","",COUNTIF('Register'!$A$6:$A$505,A139))</f>
        <v/>
      </c>
      <c r="AE139" s="17" t="n"/>
      <c r="AF139" s="16" t="n"/>
      <c r="AG139" s="17" t="n"/>
      <c r="AH139" s="17" t="n"/>
      <c r="AI139" s="19">
        <f>IF(AE139="","",AE139+IF(AF139="",TA_NOC,AF139))</f>
        <v/>
      </c>
      <c r="AJ139" s="15">
        <f>IF(AE139="","",IF(AG139="",DATADATE,AG139)-AE139)</f>
        <v/>
      </c>
      <c r="AK139" s="15">
        <f>IF(OR(AI139="",AG139&lt;&gt;""),"",IF(DATADATE&gt;AI139,"OVERDUE",""))</f>
        <v/>
      </c>
      <c r="AL139" s="15">
        <f>IF(AH139="","",IF(AH139&lt;DATADATE,"EXPIRED",IF(AH139-DATADATE&lt;=WARN_EXP,"EXPIRING","")))</f>
        <v/>
      </c>
      <c r="AM139" s="16" t="n"/>
      <c r="AN139" s="16" t="n"/>
      <c r="AO139" s="16" t="n"/>
      <c r="AP139" s="16" t="n"/>
    </row>
    <row r="140">
      <c r="A140" s="15">
        <f>IF(AA140="","",PROJ&amp;"-NOC-"&amp;Z140&amp;"-"&amp;TEXT(AA140,"0000"))</f>
        <v/>
      </c>
      <c r="B140" s="15">
        <f>IF(AA140="","",PROJ)</f>
        <v/>
      </c>
      <c r="C140" s="16" t="n"/>
      <c r="D140" s="16" t="n"/>
      <c r="E140" s="16" t="n"/>
      <c r="F140" s="16" t="n"/>
      <c r="G140" s="16" t="n"/>
      <c r="H140" s="16" t="n"/>
      <c r="I140" s="16" t="n"/>
      <c r="J140" s="16" t="n"/>
      <c r="K140" s="16" t="n"/>
      <c r="L140" s="16" t="n"/>
      <c r="M140" s="16" t="n"/>
      <c r="N140" s="16" t="n"/>
      <c r="O140" s="17" t="n"/>
      <c r="P140" s="16" t="n"/>
      <c r="Q140" s="16" t="n"/>
      <c r="R140" s="16" t="n"/>
      <c r="S140" s="16" t="n"/>
      <c r="T140" s="16" t="n"/>
      <c r="U140" s="16" t="n"/>
      <c r="V140" s="16" t="n"/>
      <c r="W140" s="16" t="n"/>
      <c r="X140" s="16" t="n"/>
      <c r="Y140" s="16" t="n"/>
      <c r="Z140" s="16" t="n"/>
      <c r="AA140" s="16" t="n"/>
      <c r="AB140" s="18" t="n"/>
      <c r="AC140" s="15">
        <f>IF(A140="","",IF(AB140=_xlfn.MAXIFS('Register'!$AB$6:$AB$505,'Register'!$A$6:$A$505,A140),"Y","N"))</f>
        <v/>
      </c>
      <c r="AD140" s="15">
        <f>IF(A140="","",COUNTIF('Register'!$A$6:$A$505,A140))</f>
        <v/>
      </c>
      <c r="AE140" s="17" t="n"/>
      <c r="AF140" s="16" t="n"/>
      <c r="AG140" s="17" t="n"/>
      <c r="AH140" s="17" t="n"/>
      <c r="AI140" s="19">
        <f>IF(AE140="","",AE140+IF(AF140="",TA_NOC,AF140))</f>
        <v/>
      </c>
      <c r="AJ140" s="15">
        <f>IF(AE140="","",IF(AG140="",DATADATE,AG140)-AE140)</f>
        <v/>
      </c>
      <c r="AK140" s="15">
        <f>IF(OR(AI140="",AG140&lt;&gt;""),"",IF(DATADATE&gt;AI140,"OVERDUE",""))</f>
        <v/>
      </c>
      <c r="AL140" s="15">
        <f>IF(AH140="","",IF(AH140&lt;DATADATE,"EXPIRED",IF(AH140-DATADATE&lt;=WARN_EXP,"EXPIRING","")))</f>
        <v/>
      </c>
      <c r="AM140" s="16" t="n"/>
      <c r="AN140" s="16" t="n"/>
      <c r="AO140" s="16" t="n"/>
      <c r="AP140" s="16" t="n"/>
    </row>
    <row r="141">
      <c r="A141" s="15">
        <f>IF(AA141="","",PROJ&amp;"-NOC-"&amp;Z141&amp;"-"&amp;TEXT(AA141,"0000"))</f>
        <v/>
      </c>
      <c r="B141" s="15">
        <f>IF(AA141="","",PROJ)</f>
        <v/>
      </c>
      <c r="C141" s="16" t="n"/>
      <c r="D141" s="16" t="n"/>
      <c r="E141" s="16" t="n"/>
      <c r="F141" s="16" t="n"/>
      <c r="G141" s="16" t="n"/>
      <c r="H141" s="16" t="n"/>
      <c r="I141" s="16" t="n"/>
      <c r="J141" s="16" t="n"/>
      <c r="K141" s="16" t="n"/>
      <c r="L141" s="16" t="n"/>
      <c r="M141" s="16" t="n"/>
      <c r="N141" s="16" t="n"/>
      <c r="O141" s="17" t="n"/>
      <c r="P141" s="16" t="n"/>
      <c r="Q141" s="16" t="n"/>
      <c r="R141" s="16" t="n"/>
      <c r="S141" s="16" t="n"/>
      <c r="T141" s="16" t="n"/>
      <c r="U141" s="16" t="n"/>
      <c r="V141" s="16" t="n"/>
      <c r="W141" s="16" t="n"/>
      <c r="X141" s="16" t="n"/>
      <c r="Y141" s="16" t="n"/>
      <c r="Z141" s="16" t="n"/>
      <c r="AA141" s="16" t="n"/>
      <c r="AB141" s="18" t="n"/>
      <c r="AC141" s="15">
        <f>IF(A141="","",IF(AB141=_xlfn.MAXIFS('Register'!$AB$6:$AB$505,'Register'!$A$6:$A$505,A141),"Y","N"))</f>
        <v/>
      </c>
      <c r="AD141" s="15">
        <f>IF(A141="","",COUNTIF('Register'!$A$6:$A$505,A141))</f>
        <v/>
      </c>
      <c r="AE141" s="17" t="n"/>
      <c r="AF141" s="16" t="n"/>
      <c r="AG141" s="17" t="n"/>
      <c r="AH141" s="17" t="n"/>
      <c r="AI141" s="19">
        <f>IF(AE141="","",AE141+IF(AF141="",TA_NOC,AF141))</f>
        <v/>
      </c>
      <c r="AJ141" s="15">
        <f>IF(AE141="","",IF(AG141="",DATADATE,AG141)-AE141)</f>
        <v/>
      </c>
      <c r="AK141" s="15">
        <f>IF(OR(AI141="",AG141&lt;&gt;""),"",IF(DATADATE&gt;AI141,"OVERDUE",""))</f>
        <v/>
      </c>
      <c r="AL141" s="15">
        <f>IF(AH141="","",IF(AH141&lt;DATADATE,"EXPIRED",IF(AH141-DATADATE&lt;=WARN_EXP,"EXPIRING","")))</f>
        <v/>
      </c>
      <c r="AM141" s="16" t="n"/>
      <c r="AN141" s="16" t="n"/>
      <c r="AO141" s="16" t="n"/>
      <c r="AP141" s="16" t="n"/>
    </row>
    <row r="142">
      <c r="A142" s="15">
        <f>IF(AA142="","",PROJ&amp;"-NOC-"&amp;Z142&amp;"-"&amp;TEXT(AA142,"0000"))</f>
        <v/>
      </c>
      <c r="B142" s="15">
        <f>IF(AA142="","",PROJ)</f>
        <v/>
      </c>
      <c r="C142" s="16" t="n"/>
      <c r="D142" s="16" t="n"/>
      <c r="E142" s="16" t="n"/>
      <c r="F142" s="16" t="n"/>
      <c r="G142" s="16" t="n"/>
      <c r="H142" s="16" t="n"/>
      <c r="I142" s="16" t="n"/>
      <c r="J142" s="16" t="n"/>
      <c r="K142" s="16" t="n"/>
      <c r="L142" s="16" t="n"/>
      <c r="M142" s="16" t="n"/>
      <c r="N142" s="16" t="n"/>
      <c r="O142" s="17" t="n"/>
      <c r="P142" s="16" t="n"/>
      <c r="Q142" s="16" t="n"/>
      <c r="R142" s="16" t="n"/>
      <c r="S142" s="16" t="n"/>
      <c r="T142" s="16" t="n"/>
      <c r="U142" s="16" t="n"/>
      <c r="V142" s="16" t="n"/>
      <c r="W142" s="16" t="n"/>
      <c r="X142" s="16" t="n"/>
      <c r="Y142" s="16" t="n"/>
      <c r="Z142" s="16" t="n"/>
      <c r="AA142" s="16" t="n"/>
      <c r="AB142" s="18" t="n"/>
      <c r="AC142" s="15">
        <f>IF(A142="","",IF(AB142=_xlfn.MAXIFS('Register'!$AB$6:$AB$505,'Register'!$A$6:$A$505,A142),"Y","N"))</f>
        <v/>
      </c>
      <c r="AD142" s="15">
        <f>IF(A142="","",COUNTIF('Register'!$A$6:$A$505,A142))</f>
        <v/>
      </c>
      <c r="AE142" s="17" t="n"/>
      <c r="AF142" s="16" t="n"/>
      <c r="AG142" s="17" t="n"/>
      <c r="AH142" s="17" t="n"/>
      <c r="AI142" s="19">
        <f>IF(AE142="","",AE142+IF(AF142="",TA_NOC,AF142))</f>
        <v/>
      </c>
      <c r="AJ142" s="15">
        <f>IF(AE142="","",IF(AG142="",DATADATE,AG142)-AE142)</f>
        <v/>
      </c>
      <c r="AK142" s="15">
        <f>IF(OR(AI142="",AG142&lt;&gt;""),"",IF(DATADATE&gt;AI142,"OVERDUE",""))</f>
        <v/>
      </c>
      <c r="AL142" s="15">
        <f>IF(AH142="","",IF(AH142&lt;DATADATE,"EXPIRED",IF(AH142-DATADATE&lt;=WARN_EXP,"EXPIRING","")))</f>
        <v/>
      </c>
      <c r="AM142" s="16" t="n"/>
      <c r="AN142" s="16" t="n"/>
      <c r="AO142" s="16" t="n"/>
      <c r="AP142" s="16" t="n"/>
    </row>
    <row r="143">
      <c r="A143" s="15">
        <f>IF(AA143="","",PROJ&amp;"-NOC-"&amp;Z143&amp;"-"&amp;TEXT(AA143,"0000"))</f>
        <v/>
      </c>
      <c r="B143" s="15">
        <f>IF(AA143="","",PROJ)</f>
        <v/>
      </c>
      <c r="C143" s="16" t="n"/>
      <c r="D143" s="16" t="n"/>
      <c r="E143" s="16" t="n"/>
      <c r="F143" s="16" t="n"/>
      <c r="G143" s="16" t="n"/>
      <c r="H143" s="16" t="n"/>
      <c r="I143" s="16" t="n"/>
      <c r="J143" s="16" t="n"/>
      <c r="K143" s="16" t="n"/>
      <c r="L143" s="16" t="n"/>
      <c r="M143" s="16" t="n"/>
      <c r="N143" s="16" t="n"/>
      <c r="O143" s="17" t="n"/>
      <c r="P143" s="16" t="n"/>
      <c r="Q143" s="16" t="n"/>
      <c r="R143" s="16" t="n"/>
      <c r="S143" s="16" t="n"/>
      <c r="T143" s="16" t="n"/>
      <c r="U143" s="16" t="n"/>
      <c r="V143" s="16" t="n"/>
      <c r="W143" s="16" t="n"/>
      <c r="X143" s="16" t="n"/>
      <c r="Y143" s="16" t="n"/>
      <c r="Z143" s="16" t="n"/>
      <c r="AA143" s="16" t="n"/>
      <c r="AB143" s="18" t="n"/>
      <c r="AC143" s="15">
        <f>IF(A143="","",IF(AB143=_xlfn.MAXIFS('Register'!$AB$6:$AB$505,'Register'!$A$6:$A$505,A143),"Y","N"))</f>
        <v/>
      </c>
      <c r="AD143" s="15">
        <f>IF(A143="","",COUNTIF('Register'!$A$6:$A$505,A143))</f>
        <v/>
      </c>
      <c r="AE143" s="17" t="n"/>
      <c r="AF143" s="16" t="n"/>
      <c r="AG143" s="17" t="n"/>
      <c r="AH143" s="17" t="n"/>
      <c r="AI143" s="19">
        <f>IF(AE143="","",AE143+IF(AF143="",TA_NOC,AF143))</f>
        <v/>
      </c>
      <c r="AJ143" s="15">
        <f>IF(AE143="","",IF(AG143="",DATADATE,AG143)-AE143)</f>
        <v/>
      </c>
      <c r="AK143" s="15">
        <f>IF(OR(AI143="",AG143&lt;&gt;""),"",IF(DATADATE&gt;AI143,"OVERDUE",""))</f>
        <v/>
      </c>
      <c r="AL143" s="15">
        <f>IF(AH143="","",IF(AH143&lt;DATADATE,"EXPIRED",IF(AH143-DATADATE&lt;=WARN_EXP,"EXPIRING","")))</f>
        <v/>
      </c>
      <c r="AM143" s="16" t="n"/>
      <c r="AN143" s="16" t="n"/>
      <c r="AO143" s="16" t="n"/>
      <c r="AP143" s="16" t="n"/>
    </row>
    <row r="144">
      <c r="A144" s="15">
        <f>IF(AA144="","",PROJ&amp;"-NOC-"&amp;Z144&amp;"-"&amp;TEXT(AA144,"0000"))</f>
        <v/>
      </c>
      <c r="B144" s="15">
        <f>IF(AA144="","",PROJ)</f>
        <v/>
      </c>
      <c r="C144" s="16" t="n"/>
      <c r="D144" s="16" t="n"/>
      <c r="E144" s="16" t="n"/>
      <c r="F144" s="16" t="n"/>
      <c r="G144" s="16" t="n"/>
      <c r="H144" s="16" t="n"/>
      <c r="I144" s="16" t="n"/>
      <c r="J144" s="16" t="n"/>
      <c r="K144" s="16" t="n"/>
      <c r="L144" s="16" t="n"/>
      <c r="M144" s="16" t="n"/>
      <c r="N144" s="16" t="n"/>
      <c r="O144" s="17" t="n"/>
      <c r="P144" s="16" t="n"/>
      <c r="Q144" s="16" t="n"/>
      <c r="R144" s="16" t="n"/>
      <c r="S144" s="16" t="n"/>
      <c r="T144" s="16" t="n"/>
      <c r="U144" s="16" t="n"/>
      <c r="V144" s="16" t="n"/>
      <c r="W144" s="16" t="n"/>
      <c r="X144" s="16" t="n"/>
      <c r="Y144" s="16" t="n"/>
      <c r="Z144" s="16" t="n"/>
      <c r="AA144" s="16" t="n"/>
      <c r="AB144" s="18" t="n"/>
      <c r="AC144" s="15">
        <f>IF(A144="","",IF(AB144=_xlfn.MAXIFS('Register'!$AB$6:$AB$505,'Register'!$A$6:$A$505,A144),"Y","N"))</f>
        <v/>
      </c>
      <c r="AD144" s="15">
        <f>IF(A144="","",COUNTIF('Register'!$A$6:$A$505,A144))</f>
        <v/>
      </c>
      <c r="AE144" s="17" t="n"/>
      <c r="AF144" s="16" t="n"/>
      <c r="AG144" s="17" t="n"/>
      <c r="AH144" s="17" t="n"/>
      <c r="AI144" s="19">
        <f>IF(AE144="","",AE144+IF(AF144="",TA_NOC,AF144))</f>
        <v/>
      </c>
      <c r="AJ144" s="15">
        <f>IF(AE144="","",IF(AG144="",DATADATE,AG144)-AE144)</f>
        <v/>
      </c>
      <c r="AK144" s="15">
        <f>IF(OR(AI144="",AG144&lt;&gt;""),"",IF(DATADATE&gt;AI144,"OVERDUE",""))</f>
        <v/>
      </c>
      <c r="AL144" s="15">
        <f>IF(AH144="","",IF(AH144&lt;DATADATE,"EXPIRED",IF(AH144-DATADATE&lt;=WARN_EXP,"EXPIRING","")))</f>
        <v/>
      </c>
      <c r="AM144" s="16" t="n"/>
      <c r="AN144" s="16" t="n"/>
      <c r="AO144" s="16" t="n"/>
      <c r="AP144" s="16" t="n"/>
    </row>
    <row r="145">
      <c r="A145" s="15">
        <f>IF(AA145="","",PROJ&amp;"-NOC-"&amp;Z145&amp;"-"&amp;TEXT(AA145,"0000"))</f>
        <v/>
      </c>
      <c r="B145" s="15">
        <f>IF(AA145="","",PROJ)</f>
        <v/>
      </c>
      <c r="C145" s="16" t="n"/>
      <c r="D145" s="16" t="n"/>
      <c r="E145" s="16" t="n"/>
      <c r="F145" s="16" t="n"/>
      <c r="G145" s="16" t="n"/>
      <c r="H145" s="16" t="n"/>
      <c r="I145" s="16" t="n"/>
      <c r="J145" s="16" t="n"/>
      <c r="K145" s="16" t="n"/>
      <c r="L145" s="16" t="n"/>
      <c r="M145" s="16" t="n"/>
      <c r="N145" s="16" t="n"/>
      <c r="O145" s="17" t="n"/>
      <c r="P145" s="16" t="n"/>
      <c r="Q145" s="16" t="n"/>
      <c r="R145" s="16" t="n"/>
      <c r="S145" s="16" t="n"/>
      <c r="T145" s="16" t="n"/>
      <c r="U145" s="16" t="n"/>
      <c r="V145" s="16" t="n"/>
      <c r="W145" s="16" t="n"/>
      <c r="X145" s="16" t="n"/>
      <c r="Y145" s="16" t="n"/>
      <c r="Z145" s="16" t="n"/>
      <c r="AA145" s="16" t="n"/>
      <c r="AB145" s="18" t="n"/>
      <c r="AC145" s="15">
        <f>IF(A145="","",IF(AB145=_xlfn.MAXIFS('Register'!$AB$6:$AB$505,'Register'!$A$6:$A$505,A145),"Y","N"))</f>
        <v/>
      </c>
      <c r="AD145" s="15">
        <f>IF(A145="","",COUNTIF('Register'!$A$6:$A$505,A145))</f>
        <v/>
      </c>
      <c r="AE145" s="17" t="n"/>
      <c r="AF145" s="16" t="n"/>
      <c r="AG145" s="17" t="n"/>
      <c r="AH145" s="17" t="n"/>
      <c r="AI145" s="19">
        <f>IF(AE145="","",AE145+IF(AF145="",TA_NOC,AF145))</f>
        <v/>
      </c>
      <c r="AJ145" s="15">
        <f>IF(AE145="","",IF(AG145="",DATADATE,AG145)-AE145)</f>
        <v/>
      </c>
      <c r="AK145" s="15">
        <f>IF(OR(AI145="",AG145&lt;&gt;""),"",IF(DATADATE&gt;AI145,"OVERDUE",""))</f>
        <v/>
      </c>
      <c r="AL145" s="15">
        <f>IF(AH145="","",IF(AH145&lt;DATADATE,"EXPIRED",IF(AH145-DATADATE&lt;=WARN_EXP,"EXPIRING","")))</f>
        <v/>
      </c>
      <c r="AM145" s="16" t="n"/>
      <c r="AN145" s="16" t="n"/>
      <c r="AO145" s="16" t="n"/>
      <c r="AP145" s="16" t="n"/>
    </row>
    <row r="146">
      <c r="A146" s="15">
        <f>IF(AA146="","",PROJ&amp;"-NOC-"&amp;Z146&amp;"-"&amp;TEXT(AA146,"0000"))</f>
        <v/>
      </c>
      <c r="B146" s="15">
        <f>IF(AA146="","",PROJ)</f>
        <v/>
      </c>
      <c r="C146" s="16" t="n"/>
      <c r="D146" s="16" t="n"/>
      <c r="E146" s="16" t="n"/>
      <c r="F146" s="16" t="n"/>
      <c r="G146" s="16" t="n"/>
      <c r="H146" s="16" t="n"/>
      <c r="I146" s="16" t="n"/>
      <c r="J146" s="16" t="n"/>
      <c r="K146" s="16" t="n"/>
      <c r="L146" s="16" t="n"/>
      <c r="M146" s="16" t="n"/>
      <c r="N146" s="16" t="n"/>
      <c r="O146" s="17" t="n"/>
      <c r="P146" s="16" t="n"/>
      <c r="Q146" s="16" t="n"/>
      <c r="R146" s="16" t="n"/>
      <c r="S146" s="16" t="n"/>
      <c r="T146" s="16" t="n"/>
      <c r="U146" s="16" t="n"/>
      <c r="V146" s="16" t="n"/>
      <c r="W146" s="16" t="n"/>
      <c r="X146" s="16" t="n"/>
      <c r="Y146" s="16" t="n"/>
      <c r="Z146" s="16" t="n"/>
      <c r="AA146" s="16" t="n"/>
      <c r="AB146" s="18" t="n"/>
      <c r="AC146" s="15">
        <f>IF(A146="","",IF(AB146=_xlfn.MAXIFS('Register'!$AB$6:$AB$505,'Register'!$A$6:$A$505,A146),"Y","N"))</f>
        <v/>
      </c>
      <c r="AD146" s="15">
        <f>IF(A146="","",COUNTIF('Register'!$A$6:$A$505,A146))</f>
        <v/>
      </c>
      <c r="AE146" s="17" t="n"/>
      <c r="AF146" s="16" t="n"/>
      <c r="AG146" s="17" t="n"/>
      <c r="AH146" s="17" t="n"/>
      <c r="AI146" s="19">
        <f>IF(AE146="","",AE146+IF(AF146="",TA_NOC,AF146))</f>
        <v/>
      </c>
      <c r="AJ146" s="15">
        <f>IF(AE146="","",IF(AG146="",DATADATE,AG146)-AE146)</f>
        <v/>
      </c>
      <c r="AK146" s="15">
        <f>IF(OR(AI146="",AG146&lt;&gt;""),"",IF(DATADATE&gt;AI146,"OVERDUE",""))</f>
        <v/>
      </c>
      <c r="AL146" s="15">
        <f>IF(AH146="","",IF(AH146&lt;DATADATE,"EXPIRED",IF(AH146-DATADATE&lt;=WARN_EXP,"EXPIRING","")))</f>
        <v/>
      </c>
      <c r="AM146" s="16" t="n"/>
      <c r="AN146" s="16" t="n"/>
      <c r="AO146" s="16" t="n"/>
      <c r="AP146" s="16" t="n"/>
    </row>
    <row r="147">
      <c r="A147" s="15">
        <f>IF(AA147="","",PROJ&amp;"-NOC-"&amp;Z147&amp;"-"&amp;TEXT(AA147,"0000"))</f>
        <v/>
      </c>
      <c r="B147" s="15">
        <f>IF(AA147="","",PROJ)</f>
        <v/>
      </c>
      <c r="C147" s="16" t="n"/>
      <c r="D147" s="16" t="n"/>
      <c r="E147" s="16" t="n"/>
      <c r="F147" s="16" t="n"/>
      <c r="G147" s="16" t="n"/>
      <c r="H147" s="16" t="n"/>
      <c r="I147" s="16" t="n"/>
      <c r="J147" s="16" t="n"/>
      <c r="K147" s="16" t="n"/>
      <c r="L147" s="16" t="n"/>
      <c r="M147" s="16" t="n"/>
      <c r="N147" s="16" t="n"/>
      <c r="O147" s="17" t="n"/>
      <c r="P147" s="16" t="n"/>
      <c r="Q147" s="16" t="n"/>
      <c r="R147" s="16" t="n"/>
      <c r="S147" s="16" t="n"/>
      <c r="T147" s="16" t="n"/>
      <c r="U147" s="16" t="n"/>
      <c r="V147" s="16" t="n"/>
      <c r="W147" s="16" t="n"/>
      <c r="X147" s="16" t="n"/>
      <c r="Y147" s="16" t="n"/>
      <c r="Z147" s="16" t="n"/>
      <c r="AA147" s="16" t="n"/>
      <c r="AB147" s="18" t="n"/>
      <c r="AC147" s="15">
        <f>IF(A147="","",IF(AB147=_xlfn.MAXIFS('Register'!$AB$6:$AB$505,'Register'!$A$6:$A$505,A147),"Y","N"))</f>
        <v/>
      </c>
      <c r="AD147" s="15">
        <f>IF(A147="","",COUNTIF('Register'!$A$6:$A$505,A147))</f>
        <v/>
      </c>
      <c r="AE147" s="17" t="n"/>
      <c r="AF147" s="16" t="n"/>
      <c r="AG147" s="17" t="n"/>
      <c r="AH147" s="17" t="n"/>
      <c r="AI147" s="19">
        <f>IF(AE147="","",AE147+IF(AF147="",TA_NOC,AF147))</f>
        <v/>
      </c>
      <c r="AJ147" s="15">
        <f>IF(AE147="","",IF(AG147="",DATADATE,AG147)-AE147)</f>
        <v/>
      </c>
      <c r="AK147" s="15">
        <f>IF(OR(AI147="",AG147&lt;&gt;""),"",IF(DATADATE&gt;AI147,"OVERDUE",""))</f>
        <v/>
      </c>
      <c r="AL147" s="15">
        <f>IF(AH147="","",IF(AH147&lt;DATADATE,"EXPIRED",IF(AH147-DATADATE&lt;=WARN_EXP,"EXPIRING","")))</f>
        <v/>
      </c>
      <c r="AM147" s="16" t="n"/>
      <c r="AN147" s="16" t="n"/>
      <c r="AO147" s="16" t="n"/>
      <c r="AP147" s="16" t="n"/>
    </row>
    <row r="148">
      <c r="A148" s="15">
        <f>IF(AA148="","",PROJ&amp;"-NOC-"&amp;Z148&amp;"-"&amp;TEXT(AA148,"0000"))</f>
        <v/>
      </c>
      <c r="B148" s="15">
        <f>IF(AA148="","",PROJ)</f>
        <v/>
      </c>
      <c r="C148" s="16" t="n"/>
      <c r="D148" s="16" t="n"/>
      <c r="E148" s="16" t="n"/>
      <c r="F148" s="16" t="n"/>
      <c r="G148" s="16" t="n"/>
      <c r="H148" s="16" t="n"/>
      <c r="I148" s="16" t="n"/>
      <c r="J148" s="16" t="n"/>
      <c r="K148" s="16" t="n"/>
      <c r="L148" s="16" t="n"/>
      <c r="M148" s="16" t="n"/>
      <c r="N148" s="16" t="n"/>
      <c r="O148" s="17" t="n"/>
      <c r="P148" s="16" t="n"/>
      <c r="Q148" s="16" t="n"/>
      <c r="R148" s="16" t="n"/>
      <c r="S148" s="16" t="n"/>
      <c r="T148" s="16" t="n"/>
      <c r="U148" s="16" t="n"/>
      <c r="V148" s="16" t="n"/>
      <c r="W148" s="16" t="n"/>
      <c r="X148" s="16" t="n"/>
      <c r="Y148" s="16" t="n"/>
      <c r="Z148" s="16" t="n"/>
      <c r="AA148" s="16" t="n"/>
      <c r="AB148" s="18" t="n"/>
      <c r="AC148" s="15">
        <f>IF(A148="","",IF(AB148=_xlfn.MAXIFS('Register'!$AB$6:$AB$505,'Register'!$A$6:$A$505,A148),"Y","N"))</f>
        <v/>
      </c>
      <c r="AD148" s="15">
        <f>IF(A148="","",COUNTIF('Register'!$A$6:$A$505,A148))</f>
        <v/>
      </c>
      <c r="AE148" s="17" t="n"/>
      <c r="AF148" s="16" t="n"/>
      <c r="AG148" s="17" t="n"/>
      <c r="AH148" s="17" t="n"/>
      <c r="AI148" s="19">
        <f>IF(AE148="","",AE148+IF(AF148="",TA_NOC,AF148))</f>
        <v/>
      </c>
      <c r="AJ148" s="15">
        <f>IF(AE148="","",IF(AG148="",DATADATE,AG148)-AE148)</f>
        <v/>
      </c>
      <c r="AK148" s="15">
        <f>IF(OR(AI148="",AG148&lt;&gt;""),"",IF(DATADATE&gt;AI148,"OVERDUE",""))</f>
        <v/>
      </c>
      <c r="AL148" s="15">
        <f>IF(AH148="","",IF(AH148&lt;DATADATE,"EXPIRED",IF(AH148-DATADATE&lt;=WARN_EXP,"EXPIRING","")))</f>
        <v/>
      </c>
      <c r="AM148" s="16" t="n"/>
      <c r="AN148" s="16" t="n"/>
      <c r="AO148" s="16" t="n"/>
      <c r="AP148" s="16" t="n"/>
    </row>
    <row r="149">
      <c r="A149" s="15">
        <f>IF(AA149="","",PROJ&amp;"-NOC-"&amp;Z149&amp;"-"&amp;TEXT(AA149,"0000"))</f>
        <v/>
      </c>
      <c r="B149" s="15">
        <f>IF(AA149="","",PROJ)</f>
        <v/>
      </c>
      <c r="C149" s="16" t="n"/>
      <c r="D149" s="16" t="n"/>
      <c r="E149" s="16" t="n"/>
      <c r="F149" s="16" t="n"/>
      <c r="G149" s="16" t="n"/>
      <c r="H149" s="16" t="n"/>
      <c r="I149" s="16" t="n"/>
      <c r="J149" s="16" t="n"/>
      <c r="K149" s="16" t="n"/>
      <c r="L149" s="16" t="n"/>
      <c r="M149" s="16" t="n"/>
      <c r="N149" s="16" t="n"/>
      <c r="O149" s="17" t="n"/>
      <c r="P149" s="16" t="n"/>
      <c r="Q149" s="16" t="n"/>
      <c r="R149" s="16" t="n"/>
      <c r="S149" s="16" t="n"/>
      <c r="T149" s="16" t="n"/>
      <c r="U149" s="16" t="n"/>
      <c r="V149" s="16" t="n"/>
      <c r="W149" s="16" t="n"/>
      <c r="X149" s="16" t="n"/>
      <c r="Y149" s="16" t="n"/>
      <c r="Z149" s="16" t="n"/>
      <c r="AA149" s="16" t="n"/>
      <c r="AB149" s="18" t="n"/>
      <c r="AC149" s="15">
        <f>IF(A149="","",IF(AB149=_xlfn.MAXIFS('Register'!$AB$6:$AB$505,'Register'!$A$6:$A$505,A149),"Y","N"))</f>
        <v/>
      </c>
      <c r="AD149" s="15">
        <f>IF(A149="","",COUNTIF('Register'!$A$6:$A$505,A149))</f>
        <v/>
      </c>
      <c r="AE149" s="17" t="n"/>
      <c r="AF149" s="16" t="n"/>
      <c r="AG149" s="17" t="n"/>
      <c r="AH149" s="17" t="n"/>
      <c r="AI149" s="19">
        <f>IF(AE149="","",AE149+IF(AF149="",TA_NOC,AF149))</f>
        <v/>
      </c>
      <c r="AJ149" s="15">
        <f>IF(AE149="","",IF(AG149="",DATADATE,AG149)-AE149)</f>
        <v/>
      </c>
      <c r="AK149" s="15">
        <f>IF(OR(AI149="",AG149&lt;&gt;""),"",IF(DATADATE&gt;AI149,"OVERDUE",""))</f>
        <v/>
      </c>
      <c r="AL149" s="15">
        <f>IF(AH149="","",IF(AH149&lt;DATADATE,"EXPIRED",IF(AH149-DATADATE&lt;=WARN_EXP,"EXPIRING","")))</f>
        <v/>
      </c>
      <c r="AM149" s="16" t="n"/>
      <c r="AN149" s="16" t="n"/>
      <c r="AO149" s="16" t="n"/>
      <c r="AP149" s="16" t="n"/>
    </row>
    <row r="150">
      <c r="A150" s="15">
        <f>IF(AA150="","",PROJ&amp;"-NOC-"&amp;Z150&amp;"-"&amp;TEXT(AA150,"0000"))</f>
        <v/>
      </c>
      <c r="B150" s="15">
        <f>IF(AA150="","",PROJ)</f>
        <v/>
      </c>
      <c r="C150" s="16" t="n"/>
      <c r="D150" s="16" t="n"/>
      <c r="E150" s="16" t="n"/>
      <c r="F150" s="16" t="n"/>
      <c r="G150" s="16" t="n"/>
      <c r="H150" s="16" t="n"/>
      <c r="I150" s="16" t="n"/>
      <c r="J150" s="16" t="n"/>
      <c r="K150" s="16" t="n"/>
      <c r="L150" s="16" t="n"/>
      <c r="M150" s="16" t="n"/>
      <c r="N150" s="16" t="n"/>
      <c r="O150" s="17" t="n"/>
      <c r="P150" s="16" t="n"/>
      <c r="Q150" s="16" t="n"/>
      <c r="R150" s="16" t="n"/>
      <c r="S150" s="16" t="n"/>
      <c r="T150" s="16" t="n"/>
      <c r="U150" s="16" t="n"/>
      <c r="V150" s="16" t="n"/>
      <c r="W150" s="16" t="n"/>
      <c r="X150" s="16" t="n"/>
      <c r="Y150" s="16" t="n"/>
      <c r="Z150" s="16" t="n"/>
      <c r="AA150" s="16" t="n"/>
      <c r="AB150" s="18" t="n"/>
      <c r="AC150" s="15">
        <f>IF(A150="","",IF(AB150=_xlfn.MAXIFS('Register'!$AB$6:$AB$505,'Register'!$A$6:$A$505,A150),"Y","N"))</f>
        <v/>
      </c>
      <c r="AD150" s="15">
        <f>IF(A150="","",COUNTIF('Register'!$A$6:$A$505,A150))</f>
        <v/>
      </c>
      <c r="AE150" s="17" t="n"/>
      <c r="AF150" s="16" t="n"/>
      <c r="AG150" s="17" t="n"/>
      <c r="AH150" s="17" t="n"/>
      <c r="AI150" s="19">
        <f>IF(AE150="","",AE150+IF(AF150="",TA_NOC,AF150))</f>
        <v/>
      </c>
      <c r="AJ150" s="15">
        <f>IF(AE150="","",IF(AG150="",DATADATE,AG150)-AE150)</f>
        <v/>
      </c>
      <c r="AK150" s="15">
        <f>IF(OR(AI150="",AG150&lt;&gt;""),"",IF(DATADATE&gt;AI150,"OVERDUE",""))</f>
        <v/>
      </c>
      <c r="AL150" s="15">
        <f>IF(AH150="","",IF(AH150&lt;DATADATE,"EXPIRED",IF(AH150-DATADATE&lt;=WARN_EXP,"EXPIRING","")))</f>
        <v/>
      </c>
      <c r="AM150" s="16" t="n"/>
      <c r="AN150" s="16" t="n"/>
      <c r="AO150" s="16" t="n"/>
      <c r="AP150" s="16" t="n"/>
    </row>
    <row r="151">
      <c r="A151" s="15">
        <f>IF(AA151="","",PROJ&amp;"-NOC-"&amp;Z151&amp;"-"&amp;TEXT(AA151,"0000"))</f>
        <v/>
      </c>
      <c r="B151" s="15">
        <f>IF(AA151="","",PROJ)</f>
        <v/>
      </c>
      <c r="C151" s="16" t="n"/>
      <c r="D151" s="16" t="n"/>
      <c r="E151" s="16" t="n"/>
      <c r="F151" s="16" t="n"/>
      <c r="G151" s="16" t="n"/>
      <c r="H151" s="16" t="n"/>
      <c r="I151" s="16" t="n"/>
      <c r="J151" s="16" t="n"/>
      <c r="K151" s="16" t="n"/>
      <c r="L151" s="16" t="n"/>
      <c r="M151" s="16" t="n"/>
      <c r="N151" s="16" t="n"/>
      <c r="O151" s="17" t="n"/>
      <c r="P151" s="16" t="n"/>
      <c r="Q151" s="16" t="n"/>
      <c r="R151" s="16" t="n"/>
      <c r="S151" s="16" t="n"/>
      <c r="T151" s="16" t="n"/>
      <c r="U151" s="16" t="n"/>
      <c r="V151" s="16" t="n"/>
      <c r="W151" s="16" t="n"/>
      <c r="X151" s="16" t="n"/>
      <c r="Y151" s="16" t="n"/>
      <c r="Z151" s="16" t="n"/>
      <c r="AA151" s="16" t="n"/>
      <c r="AB151" s="18" t="n"/>
      <c r="AC151" s="15">
        <f>IF(A151="","",IF(AB151=_xlfn.MAXIFS('Register'!$AB$6:$AB$505,'Register'!$A$6:$A$505,A151),"Y","N"))</f>
        <v/>
      </c>
      <c r="AD151" s="15">
        <f>IF(A151="","",COUNTIF('Register'!$A$6:$A$505,A151))</f>
        <v/>
      </c>
      <c r="AE151" s="17" t="n"/>
      <c r="AF151" s="16" t="n"/>
      <c r="AG151" s="17" t="n"/>
      <c r="AH151" s="17" t="n"/>
      <c r="AI151" s="19">
        <f>IF(AE151="","",AE151+IF(AF151="",TA_NOC,AF151))</f>
        <v/>
      </c>
      <c r="AJ151" s="15">
        <f>IF(AE151="","",IF(AG151="",DATADATE,AG151)-AE151)</f>
        <v/>
      </c>
      <c r="AK151" s="15">
        <f>IF(OR(AI151="",AG151&lt;&gt;""),"",IF(DATADATE&gt;AI151,"OVERDUE",""))</f>
        <v/>
      </c>
      <c r="AL151" s="15">
        <f>IF(AH151="","",IF(AH151&lt;DATADATE,"EXPIRED",IF(AH151-DATADATE&lt;=WARN_EXP,"EXPIRING","")))</f>
        <v/>
      </c>
      <c r="AM151" s="16" t="n"/>
      <c r="AN151" s="16" t="n"/>
      <c r="AO151" s="16" t="n"/>
      <c r="AP151" s="16" t="n"/>
    </row>
    <row r="152">
      <c r="A152" s="15">
        <f>IF(AA152="","",PROJ&amp;"-NOC-"&amp;Z152&amp;"-"&amp;TEXT(AA152,"0000"))</f>
        <v/>
      </c>
      <c r="B152" s="15">
        <f>IF(AA152="","",PROJ)</f>
        <v/>
      </c>
      <c r="C152" s="16" t="n"/>
      <c r="D152" s="16" t="n"/>
      <c r="E152" s="16" t="n"/>
      <c r="F152" s="16" t="n"/>
      <c r="G152" s="16" t="n"/>
      <c r="H152" s="16" t="n"/>
      <c r="I152" s="16" t="n"/>
      <c r="J152" s="16" t="n"/>
      <c r="K152" s="16" t="n"/>
      <c r="L152" s="16" t="n"/>
      <c r="M152" s="16" t="n"/>
      <c r="N152" s="16" t="n"/>
      <c r="O152" s="17" t="n"/>
      <c r="P152" s="16" t="n"/>
      <c r="Q152" s="16" t="n"/>
      <c r="R152" s="16" t="n"/>
      <c r="S152" s="16" t="n"/>
      <c r="T152" s="16" t="n"/>
      <c r="U152" s="16" t="n"/>
      <c r="V152" s="16" t="n"/>
      <c r="W152" s="16" t="n"/>
      <c r="X152" s="16" t="n"/>
      <c r="Y152" s="16" t="n"/>
      <c r="Z152" s="16" t="n"/>
      <c r="AA152" s="16" t="n"/>
      <c r="AB152" s="18" t="n"/>
      <c r="AC152" s="15">
        <f>IF(A152="","",IF(AB152=_xlfn.MAXIFS('Register'!$AB$6:$AB$505,'Register'!$A$6:$A$505,A152),"Y","N"))</f>
        <v/>
      </c>
      <c r="AD152" s="15">
        <f>IF(A152="","",COUNTIF('Register'!$A$6:$A$505,A152))</f>
        <v/>
      </c>
      <c r="AE152" s="17" t="n"/>
      <c r="AF152" s="16" t="n"/>
      <c r="AG152" s="17" t="n"/>
      <c r="AH152" s="17" t="n"/>
      <c r="AI152" s="19">
        <f>IF(AE152="","",AE152+IF(AF152="",TA_NOC,AF152))</f>
        <v/>
      </c>
      <c r="AJ152" s="15">
        <f>IF(AE152="","",IF(AG152="",DATADATE,AG152)-AE152)</f>
        <v/>
      </c>
      <c r="AK152" s="15">
        <f>IF(OR(AI152="",AG152&lt;&gt;""),"",IF(DATADATE&gt;AI152,"OVERDUE",""))</f>
        <v/>
      </c>
      <c r="AL152" s="15">
        <f>IF(AH152="","",IF(AH152&lt;DATADATE,"EXPIRED",IF(AH152-DATADATE&lt;=WARN_EXP,"EXPIRING","")))</f>
        <v/>
      </c>
      <c r="AM152" s="16" t="n"/>
      <c r="AN152" s="16" t="n"/>
      <c r="AO152" s="16" t="n"/>
      <c r="AP152" s="16" t="n"/>
    </row>
    <row r="153">
      <c r="A153" s="15">
        <f>IF(AA153="","",PROJ&amp;"-NOC-"&amp;Z153&amp;"-"&amp;TEXT(AA153,"0000"))</f>
        <v/>
      </c>
      <c r="B153" s="15">
        <f>IF(AA153="","",PROJ)</f>
        <v/>
      </c>
      <c r="C153" s="16" t="n"/>
      <c r="D153" s="16" t="n"/>
      <c r="E153" s="16" t="n"/>
      <c r="F153" s="16" t="n"/>
      <c r="G153" s="16" t="n"/>
      <c r="H153" s="16" t="n"/>
      <c r="I153" s="16" t="n"/>
      <c r="J153" s="16" t="n"/>
      <c r="K153" s="16" t="n"/>
      <c r="L153" s="16" t="n"/>
      <c r="M153" s="16" t="n"/>
      <c r="N153" s="16" t="n"/>
      <c r="O153" s="17" t="n"/>
      <c r="P153" s="16" t="n"/>
      <c r="Q153" s="16" t="n"/>
      <c r="R153" s="16" t="n"/>
      <c r="S153" s="16" t="n"/>
      <c r="T153" s="16" t="n"/>
      <c r="U153" s="16" t="n"/>
      <c r="V153" s="16" t="n"/>
      <c r="W153" s="16" t="n"/>
      <c r="X153" s="16" t="n"/>
      <c r="Y153" s="16" t="n"/>
      <c r="Z153" s="16" t="n"/>
      <c r="AA153" s="16" t="n"/>
      <c r="AB153" s="18" t="n"/>
      <c r="AC153" s="15">
        <f>IF(A153="","",IF(AB153=_xlfn.MAXIFS('Register'!$AB$6:$AB$505,'Register'!$A$6:$A$505,A153),"Y","N"))</f>
        <v/>
      </c>
      <c r="AD153" s="15">
        <f>IF(A153="","",COUNTIF('Register'!$A$6:$A$505,A153))</f>
        <v/>
      </c>
      <c r="AE153" s="17" t="n"/>
      <c r="AF153" s="16" t="n"/>
      <c r="AG153" s="17" t="n"/>
      <c r="AH153" s="17" t="n"/>
      <c r="AI153" s="19">
        <f>IF(AE153="","",AE153+IF(AF153="",TA_NOC,AF153))</f>
        <v/>
      </c>
      <c r="AJ153" s="15">
        <f>IF(AE153="","",IF(AG153="",DATADATE,AG153)-AE153)</f>
        <v/>
      </c>
      <c r="AK153" s="15">
        <f>IF(OR(AI153="",AG153&lt;&gt;""),"",IF(DATADATE&gt;AI153,"OVERDUE",""))</f>
        <v/>
      </c>
      <c r="AL153" s="15">
        <f>IF(AH153="","",IF(AH153&lt;DATADATE,"EXPIRED",IF(AH153-DATADATE&lt;=WARN_EXP,"EXPIRING","")))</f>
        <v/>
      </c>
      <c r="AM153" s="16" t="n"/>
      <c r="AN153" s="16" t="n"/>
      <c r="AO153" s="16" t="n"/>
      <c r="AP153" s="16" t="n"/>
    </row>
    <row r="154">
      <c r="A154" s="15">
        <f>IF(AA154="","",PROJ&amp;"-NOC-"&amp;Z154&amp;"-"&amp;TEXT(AA154,"0000"))</f>
        <v/>
      </c>
      <c r="B154" s="15">
        <f>IF(AA154="","",PROJ)</f>
        <v/>
      </c>
      <c r="C154" s="16" t="n"/>
      <c r="D154" s="16" t="n"/>
      <c r="E154" s="16" t="n"/>
      <c r="F154" s="16" t="n"/>
      <c r="G154" s="16" t="n"/>
      <c r="H154" s="16" t="n"/>
      <c r="I154" s="16" t="n"/>
      <c r="J154" s="16" t="n"/>
      <c r="K154" s="16" t="n"/>
      <c r="L154" s="16" t="n"/>
      <c r="M154" s="16" t="n"/>
      <c r="N154" s="16" t="n"/>
      <c r="O154" s="17" t="n"/>
      <c r="P154" s="16" t="n"/>
      <c r="Q154" s="16" t="n"/>
      <c r="R154" s="16" t="n"/>
      <c r="S154" s="16" t="n"/>
      <c r="T154" s="16" t="n"/>
      <c r="U154" s="16" t="n"/>
      <c r="V154" s="16" t="n"/>
      <c r="W154" s="16" t="n"/>
      <c r="X154" s="16" t="n"/>
      <c r="Y154" s="16" t="n"/>
      <c r="Z154" s="16" t="n"/>
      <c r="AA154" s="16" t="n"/>
      <c r="AB154" s="18" t="n"/>
      <c r="AC154" s="15">
        <f>IF(A154="","",IF(AB154=_xlfn.MAXIFS('Register'!$AB$6:$AB$505,'Register'!$A$6:$A$505,A154),"Y","N"))</f>
        <v/>
      </c>
      <c r="AD154" s="15">
        <f>IF(A154="","",COUNTIF('Register'!$A$6:$A$505,A154))</f>
        <v/>
      </c>
      <c r="AE154" s="17" t="n"/>
      <c r="AF154" s="16" t="n"/>
      <c r="AG154" s="17" t="n"/>
      <c r="AH154" s="17" t="n"/>
      <c r="AI154" s="19">
        <f>IF(AE154="","",AE154+IF(AF154="",TA_NOC,AF154))</f>
        <v/>
      </c>
      <c r="AJ154" s="15">
        <f>IF(AE154="","",IF(AG154="",DATADATE,AG154)-AE154)</f>
        <v/>
      </c>
      <c r="AK154" s="15">
        <f>IF(OR(AI154="",AG154&lt;&gt;""),"",IF(DATADATE&gt;AI154,"OVERDUE",""))</f>
        <v/>
      </c>
      <c r="AL154" s="15">
        <f>IF(AH154="","",IF(AH154&lt;DATADATE,"EXPIRED",IF(AH154-DATADATE&lt;=WARN_EXP,"EXPIRING","")))</f>
        <v/>
      </c>
      <c r="AM154" s="16" t="n"/>
      <c r="AN154" s="16" t="n"/>
      <c r="AO154" s="16" t="n"/>
      <c r="AP154" s="16" t="n"/>
    </row>
    <row r="155">
      <c r="A155" s="15">
        <f>IF(AA155="","",PROJ&amp;"-NOC-"&amp;Z155&amp;"-"&amp;TEXT(AA155,"0000"))</f>
        <v/>
      </c>
      <c r="B155" s="15">
        <f>IF(AA155="","",PROJ)</f>
        <v/>
      </c>
      <c r="C155" s="16" t="n"/>
      <c r="D155" s="16" t="n"/>
      <c r="E155" s="16" t="n"/>
      <c r="F155" s="16" t="n"/>
      <c r="G155" s="16" t="n"/>
      <c r="H155" s="16" t="n"/>
      <c r="I155" s="16" t="n"/>
      <c r="J155" s="16" t="n"/>
      <c r="K155" s="16" t="n"/>
      <c r="L155" s="16" t="n"/>
      <c r="M155" s="16" t="n"/>
      <c r="N155" s="16" t="n"/>
      <c r="O155" s="17" t="n"/>
      <c r="P155" s="16" t="n"/>
      <c r="Q155" s="16" t="n"/>
      <c r="R155" s="16" t="n"/>
      <c r="S155" s="16" t="n"/>
      <c r="T155" s="16" t="n"/>
      <c r="U155" s="16" t="n"/>
      <c r="V155" s="16" t="n"/>
      <c r="W155" s="16" t="n"/>
      <c r="X155" s="16" t="n"/>
      <c r="Y155" s="16" t="n"/>
      <c r="Z155" s="16" t="n"/>
      <c r="AA155" s="16" t="n"/>
      <c r="AB155" s="18" t="n"/>
      <c r="AC155" s="15">
        <f>IF(A155="","",IF(AB155=_xlfn.MAXIFS('Register'!$AB$6:$AB$505,'Register'!$A$6:$A$505,A155),"Y","N"))</f>
        <v/>
      </c>
      <c r="AD155" s="15">
        <f>IF(A155="","",COUNTIF('Register'!$A$6:$A$505,A155))</f>
        <v/>
      </c>
      <c r="AE155" s="17" t="n"/>
      <c r="AF155" s="16" t="n"/>
      <c r="AG155" s="17" t="n"/>
      <c r="AH155" s="17" t="n"/>
      <c r="AI155" s="19">
        <f>IF(AE155="","",AE155+IF(AF155="",TA_NOC,AF155))</f>
        <v/>
      </c>
      <c r="AJ155" s="15">
        <f>IF(AE155="","",IF(AG155="",DATADATE,AG155)-AE155)</f>
        <v/>
      </c>
      <c r="AK155" s="15">
        <f>IF(OR(AI155="",AG155&lt;&gt;""),"",IF(DATADATE&gt;AI155,"OVERDUE",""))</f>
        <v/>
      </c>
      <c r="AL155" s="15">
        <f>IF(AH155="","",IF(AH155&lt;DATADATE,"EXPIRED",IF(AH155-DATADATE&lt;=WARN_EXP,"EXPIRING","")))</f>
        <v/>
      </c>
      <c r="AM155" s="16" t="n"/>
      <c r="AN155" s="16" t="n"/>
      <c r="AO155" s="16" t="n"/>
      <c r="AP155" s="16" t="n"/>
    </row>
    <row r="156">
      <c r="A156" s="15">
        <f>IF(AA156="","",PROJ&amp;"-NOC-"&amp;Z156&amp;"-"&amp;TEXT(AA156,"0000"))</f>
        <v/>
      </c>
      <c r="B156" s="15">
        <f>IF(AA156="","",PROJ)</f>
        <v/>
      </c>
      <c r="C156" s="16" t="n"/>
      <c r="D156" s="16" t="n"/>
      <c r="E156" s="16" t="n"/>
      <c r="F156" s="16" t="n"/>
      <c r="G156" s="16" t="n"/>
      <c r="H156" s="16" t="n"/>
      <c r="I156" s="16" t="n"/>
      <c r="J156" s="16" t="n"/>
      <c r="K156" s="16" t="n"/>
      <c r="L156" s="16" t="n"/>
      <c r="M156" s="16" t="n"/>
      <c r="N156" s="16" t="n"/>
      <c r="O156" s="17" t="n"/>
      <c r="P156" s="16" t="n"/>
      <c r="Q156" s="16" t="n"/>
      <c r="R156" s="16" t="n"/>
      <c r="S156" s="16" t="n"/>
      <c r="T156" s="16" t="n"/>
      <c r="U156" s="16" t="n"/>
      <c r="V156" s="16" t="n"/>
      <c r="W156" s="16" t="n"/>
      <c r="X156" s="16" t="n"/>
      <c r="Y156" s="16" t="n"/>
      <c r="Z156" s="16" t="n"/>
      <c r="AA156" s="16" t="n"/>
      <c r="AB156" s="18" t="n"/>
      <c r="AC156" s="15">
        <f>IF(A156="","",IF(AB156=_xlfn.MAXIFS('Register'!$AB$6:$AB$505,'Register'!$A$6:$A$505,A156),"Y","N"))</f>
        <v/>
      </c>
      <c r="AD156" s="15">
        <f>IF(A156="","",COUNTIF('Register'!$A$6:$A$505,A156))</f>
        <v/>
      </c>
      <c r="AE156" s="17" t="n"/>
      <c r="AF156" s="16" t="n"/>
      <c r="AG156" s="17" t="n"/>
      <c r="AH156" s="17" t="n"/>
      <c r="AI156" s="19">
        <f>IF(AE156="","",AE156+IF(AF156="",TA_NOC,AF156))</f>
        <v/>
      </c>
      <c r="AJ156" s="15">
        <f>IF(AE156="","",IF(AG156="",DATADATE,AG156)-AE156)</f>
        <v/>
      </c>
      <c r="AK156" s="15">
        <f>IF(OR(AI156="",AG156&lt;&gt;""),"",IF(DATADATE&gt;AI156,"OVERDUE",""))</f>
        <v/>
      </c>
      <c r="AL156" s="15">
        <f>IF(AH156="","",IF(AH156&lt;DATADATE,"EXPIRED",IF(AH156-DATADATE&lt;=WARN_EXP,"EXPIRING","")))</f>
        <v/>
      </c>
      <c r="AM156" s="16" t="n"/>
      <c r="AN156" s="16" t="n"/>
      <c r="AO156" s="16" t="n"/>
      <c r="AP156" s="16" t="n"/>
    </row>
    <row r="157">
      <c r="A157" s="15">
        <f>IF(AA157="","",PROJ&amp;"-NOC-"&amp;Z157&amp;"-"&amp;TEXT(AA157,"0000"))</f>
        <v/>
      </c>
      <c r="B157" s="15">
        <f>IF(AA157="","",PROJ)</f>
        <v/>
      </c>
      <c r="C157" s="16" t="n"/>
      <c r="D157" s="16" t="n"/>
      <c r="E157" s="16" t="n"/>
      <c r="F157" s="16" t="n"/>
      <c r="G157" s="16" t="n"/>
      <c r="H157" s="16" t="n"/>
      <c r="I157" s="16" t="n"/>
      <c r="J157" s="16" t="n"/>
      <c r="K157" s="16" t="n"/>
      <c r="L157" s="16" t="n"/>
      <c r="M157" s="16" t="n"/>
      <c r="N157" s="16" t="n"/>
      <c r="O157" s="17" t="n"/>
      <c r="P157" s="16" t="n"/>
      <c r="Q157" s="16" t="n"/>
      <c r="R157" s="16" t="n"/>
      <c r="S157" s="16" t="n"/>
      <c r="T157" s="16" t="n"/>
      <c r="U157" s="16" t="n"/>
      <c r="V157" s="16" t="n"/>
      <c r="W157" s="16" t="n"/>
      <c r="X157" s="16" t="n"/>
      <c r="Y157" s="16" t="n"/>
      <c r="Z157" s="16" t="n"/>
      <c r="AA157" s="16" t="n"/>
      <c r="AB157" s="18" t="n"/>
      <c r="AC157" s="15">
        <f>IF(A157="","",IF(AB157=_xlfn.MAXIFS('Register'!$AB$6:$AB$505,'Register'!$A$6:$A$505,A157),"Y","N"))</f>
        <v/>
      </c>
      <c r="AD157" s="15">
        <f>IF(A157="","",COUNTIF('Register'!$A$6:$A$505,A157))</f>
        <v/>
      </c>
      <c r="AE157" s="17" t="n"/>
      <c r="AF157" s="16" t="n"/>
      <c r="AG157" s="17" t="n"/>
      <c r="AH157" s="17" t="n"/>
      <c r="AI157" s="19">
        <f>IF(AE157="","",AE157+IF(AF157="",TA_NOC,AF157))</f>
        <v/>
      </c>
      <c r="AJ157" s="15">
        <f>IF(AE157="","",IF(AG157="",DATADATE,AG157)-AE157)</f>
        <v/>
      </c>
      <c r="AK157" s="15">
        <f>IF(OR(AI157="",AG157&lt;&gt;""),"",IF(DATADATE&gt;AI157,"OVERDUE",""))</f>
        <v/>
      </c>
      <c r="AL157" s="15">
        <f>IF(AH157="","",IF(AH157&lt;DATADATE,"EXPIRED",IF(AH157-DATADATE&lt;=WARN_EXP,"EXPIRING","")))</f>
        <v/>
      </c>
      <c r="AM157" s="16" t="n"/>
      <c r="AN157" s="16" t="n"/>
      <c r="AO157" s="16" t="n"/>
      <c r="AP157" s="16" t="n"/>
    </row>
    <row r="158">
      <c r="A158" s="15">
        <f>IF(AA158="","",PROJ&amp;"-NOC-"&amp;Z158&amp;"-"&amp;TEXT(AA158,"0000"))</f>
        <v/>
      </c>
      <c r="B158" s="15">
        <f>IF(AA158="","",PROJ)</f>
        <v/>
      </c>
      <c r="C158" s="16" t="n"/>
      <c r="D158" s="16" t="n"/>
      <c r="E158" s="16" t="n"/>
      <c r="F158" s="16" t="n"/>
      <c r="G158" s="16" t="n"/>
      <c r="H158" s="16" t="n"/>
      <c r="I158" s="16" t="n"/>
      <c r="J158" s="16" t="n"/>
      <c r="K158" s="16" t="n"/>
      <c r="L158" s="16" t="n"/>
      <c r="M158" s="16" t="n"/>
      <c r="N158" s="16" t="n"/>
      <c r="O158" s="17" t="n"/>
      <c r="P158" s="16" t="n"/>
      <c r="Q158" s="16" t="n"/>
      <c r="R158" s="16" t="n"/>
      <c r="S158" s="16" t="n"/>
      <c r="T158" s="16" t="n"/>
      <c r="U158" s="16" t="n"/>
      <c r="V158" s="16" t="n"/>
      <c r="W158" s="16" t="n"/>
      <c r="X158" s="16" t="n"/>
      <c r="Y158" s="16" t="n"/>
      <c r="Z158" s="16" t="n"/>
      <c r="AA158" s="16" t="n"/>
      <c r="AB158" s="18" t="n"/>
      <c r="AC158" s="15">
        <f>IF(A158="","",IF(AB158=_xlfn.MAXIFS('Register'!$AB$6:$AB$505,'Register'!$A$6:$A$505,A158),"Y","N"))</f>
        <v/>
      </c>
      <c r="AD158" s="15">
        <f>IF(A158="","",COUNTIF('Register'!$A$6:$A$505,A158))</f>
        <v/>
      </c>
      <c r="AE158" s="17" t="n"/>
      <c r="AF158" s="16" t="n"/>
      <c r="AG158" s="17" t="n"/>
      <c r="AH158" s="17" t="n"/>
      <c r="AI158" s="19">
        <f>IF(AE158="","",AE158+IF(AF158="",TA_NOC,AF158))</f>
        <v/>
      </c>
      <c r="AJ158" s="15">
        <f>IF(AE158="","",IF(AG158="",DATADATE,AG158)-AE158)</f>
        <v/>
      </c>
      <c r="AK158" s="15">
        <f>IF(OR(AI158="",AG158&lt;&gt;""),"",IF(DATADATE&gt;AI158,"OVERDUE",""))</f>
        <v/>
      </c>
      <c r="AL158" s="15">
        <f>IF(AH158="","",IF(AH158&lt;DATADATE,"EXPIRED",IF(AH158-DATADATE&lt;=WARN_EXP,"EXPIRING","")))</f>
        <v/>
      </c>
      <c r="AM158" s="16" t="n"/>
      <c r="AN158" s="16" t="n"/>
      <c r="AO158" s="16" t="n"/>
      <c r="AP158" s="16" t="n"/>
    </row>
    <row r="159">
      <c r="A159" s="15">
        <f>IF(AA159="","",PROJ&amp;"-NOC-"&amp;Z159&amp;"-"&amp;TEXT(AA159,"0000"))</f>
        <v/>
      </c>
      <c r="B159" s="15">
        <f>IF(AA159="","",PROJ)</f>
        <v/>
      </c>
      <c r="C159" s="16" t="n"/>
      <c r="D159" s="16" t="n"/>
      <c r="E159" s="16" t="n"/>
      <c r="F159" s="16" t="n"/>
      <c r="G159" s="16" t="n"/>
      <c r="H159" s="16" t="n"/>
      <c r="I159" s="16" t="n"/>
      <c r="J159" s="16" t="n"/>
      <c r="K159" s="16" t="n"/>
      <c r="L159" s="16" t="n"/>
      <c r="M159" s="16" t="n"/>
      <c r="N159" s="16" t="n"/>
      <c r="O159" s="17" t="n"/>
      <c r="P159" s="16" t="n"/>
      <c r="Q159" s="16" t="n"/>
      <c r="R159" s="16" t="n"/>
      <c r="S159" s="16" t="n"/>
      <c r="T159" s="16" t="n"/>
      <c r="U159" s="16" t="n"/>
      <c r="V159" s="16" t="n"/>
      <c r="W159" s="16" t="n"/>
      <c r="X159" s="16" t="n"/>
      <c r="Y159" s="16" t="n"/>
      <c r="Z159" s="16" t="n"/>
      <c r="AA159" s="16" t="n"/>
      <c r="AB159" s="18" t="n"/>
      <c r="AC159" s="15">
        <f>IF(A159="","",IF(AB159=_xlfn.MAXIFS('Register'!$AB$6:$AB$505,'Register'!$A$6:$A$505,A159),"Y","N"))</f>
        <v/>
      </c>
      <c r="AD159" s="15">
        <f>IF(A159="","",COUNTIF('Register'!$A$6:$A$505,A159))</f>
        <v/>
      </c>
      <c r="AE159" s="17" t="n"/>
      <c r="AF159" s="16" t="n"/>
      <c r="AG159" s="17" t="n"/>
      <c r="AH159" s="17" t="n"/>
      <c r="AI159" s="19">
        <f>IF(AE159="","",AE159+IF(AF159="",TA_NOC,AF159))</f>
        <v/>
      </c>
      <c r="AJ159" s="15">
        <f>IF(AE159="","",IF(AG159="",DATADATE,AG159)-AE159)</f>
        <v/>
      </c>
      <c r="AK159" s="15">
        <f>IF(OR(AI159="",AG159&lt;&gt;""),"",IF(DATADATE&gt;AI159,"OVERDUE",""))</f>
        <v/>
      </c>
      <c r="AL159" s="15">
        <f>IF(AH159="","",IF(AH159&lt;DATADATE,"EXPIRED",IF(AH159-DATADATE&lt;=WARN_EXP,"EXPIRING","")))</f>
        <v/>
      </c>
      <c r="AM159" s="16" t="n"/>
      <c r="AN159" s="16" t="n"/>
      <c r="AO159" s="16" t="n"/>
      <c r="AP159" s="16" t="n"/>
    </row>
    <row r="160">
      <c r="A160" s="15">
        <f>IF(AA160="","",PROJ&amp;"-NOC-"&amp;Z160&amp;"-"&amp;TEXT(AA160,"0000"))</f>
        <v/>
      </c>
      <c r="B160" s="15">
        <f>IF(AA160="","",PROJ)</f>
        <v/>
      </c>
      <c r="C160" s="16" t="n"/>
      <c r="D160" s="16" t="n"/>
      <c r="E160" s="16" t="n"/>
      <c r="F160" s="16" t="n"/>
      <c r="G160" s="16" t="n"/>
      <c r="H160" s="16" t="n"/>
      <c r="I160" s="16" t="n"/>
      <c r="J160" s="16" t="n"/>
      <c r="K160" s="16" t="n"/>
      <c r="L160" s="16" t="n"/>
      <c r="M160" s="16" t="n"/>
      <c r="N160" s="16" t="n"/>
      <c r="O160" s="17" t="n"/>
      <c r="P160" s="16" t="n"/>
      <c r="Q160" s="16" t="n"/>
      <c r="R160" s="16" t="n"/>
      <c r="S160" s="16" t="n"/>
      <c r="T160" s="16" t="n"/>
      <c r="U160" s="16" t="n"/>
      <c r="V160" s="16" t="n"/>
      <c r="W160" s="16" t="n"/>
      <c r="X160" s="16" t="n"/>
      <c r="Y160" s="16" t="n"/>
      <c r="Z160" s="16" t="n"/>
      <c r="AA160" s="16" t="n"/>
      <c r="AB160" s="18" t="n"/>
      <c r="AC160" s="15">
        <f>IF(A160="","",IF(AB160=_xlfn.MAXIFS('Register'!$AB$6:$AB$505,'Register'!$A$6:$A$505,A160),"Y","N"))</f>
        <v/>
      </c>
      <c r="AD160" s="15">
        <f>IF(A160="","",COUNTIF('Register'!$A$6:$A$505,A160))</f>
        <v/>
      </c>
      <c r="AE160" s="17" t="n"/>
      <c r="AF160" s="16" t="n"/>
      <c r="AG160" s="17" t="n"/>
      <c r="AH160" s="17" t="n"/>
      <c r="AI160" s="19">
        <f>IF(AE160="","",AE160+IF(AF160="",TA_NOC,AF160))</f>
        <v/>
      </c>
      <c r="AJ160" s="15">
        <f>IF(AE160="","",IF(AG160="",DATADATE,AG160)-AE160)</f>
        <v/>
      </c>
      <c r="AK160" s="15">
        <f>IF(OR(AI160="",AG160&lt;&gt;""),"",IF(DATADATE&gt;AI160,"OVERDUE",""))</f>
        <v/>
      </c>
      <c r="AL160" s="15">
        <f>IF(AH160="","",IF(AH160&lt;DATADATE,"EXPIRED",IF(AH160-DATADATE&lt;=WARN_EXP,"EXPIRING","")))</f>
        <v/>
      </c>
      <c r="AM160" s="16" t="n"/>
      <c r="AN160" s="16" t="n"/>
      <c r="AO160" s="16" t="n"/>
      <c r="AP160" s="16" t="n"/>
    </row>
    <row r="161">
      <c r="A161" s="15">
        <f>IF(AA161="","",PROJ&amp;"-NOC-"&amp;Z161&amp;"-"&amp;TEXT(AA161,"0000"))</f>
        <v/>
      </c>
      <c r="B161" s="15">
        <f>IF(AA161="","",PROJ)</f>
        <v/>
      </c>
      <c r="C161" s="16" t="n"/>
      <c r="D161" s="16" t="n"/>
      <c r="E161" s="16" t="n"/>
      <c r="F161" s="16" t="n"/>
      <c r="G161" s="16" t="n"/>
      <c r="H161" s="16" t="n"/>
      <c r="I161" s="16" t="n"/>
      <c r="J161" s="16" t="n"/>
      <c r="K161" s="16" t="n"/>
      <c r="L161" s="16" t="n"/>
      <c r="M161" s="16" t="n"/>
      <c r="N161" s="16" t="n"/>
      <c r="O161" s="17" t="n"/>
      <c r="P161" s="16" t="n"/>
      <c r="Q161" s="16" t="n"/>
      <c r="R161" s="16" t="n"/>
      <c r="S161" s="16" t="n"/>
      <c r="T161" s="16" t="n"/>
      <c r="U161" s="16" t="n"/>
      <c r="V161" s="16" t="n"/>
      <c r="W161" s="16" t="n"/>
      <c r="X161" s="16" t="n"/>
      <c r="Y161" s="16" t="n"/>
      <c r="Z161" s="16" t="n"/>
      <c r="AA161" s="16" t="n"/>
      <c r="AB161" s="18" t="n"/>
      <c r="AC161" s="15">
        <f>IF(A161="","",IF(AB161=_xlfn.MAXIFS('Register'!$AB$6:$AB$505,'Register'!$A$6:$A$505,A161),"Y","N"))</f>
        <v/>
      </c>
      <c r="AD161" s="15">
        <f>IF(A161="","",COUNTIF('Register'!$A$6:$A$505,A161))</f>
        <v/>
      </c>
      <c r="AE161" s="17" t="n"/>
      <c r="AF161" s="16" t="n"/>
      <c r="AG161" s="17" t="n"/>
      <c r="AH161" s="17" t="n"/>
      <c r="AI161" s="19">
        <f>IF(AE161="","",AE161+IF(AF161="",TA_NOC,AF161))</f>
        <v/>
      </c>
      <c r="AJ161" s="15">
        <f>IF(AE161="","",IF(AG161="",DATADATE,AG161)-AE161)</f>
        <v/>
      </c>
      <c r="AK161" s="15">
        <f>IF(OR(AI161="",AG161&lt;&gt;""),"",IF(DATADATE&gt;AI161,"OVERDUE",""))</f>
        <v/>
      </c>
      <c r="AL161" s="15">
        <f>IF(AH161="","",IF(AH161&lt;DATADATE,"EXPIRED",IF(AH161-DATADATE&lt;=WARN_EXP,"EXPIRING","")))</f>
        <v/>
      </c>
      <c r="AM161" s="16" t="n"/>
      <c r="AN161" s="16" t="n"/>
      <c r="AO161" s="16" t="n"/>
      <c r="AP161" s="16" t="n"/>
    </row>
    <row r="162">
      <c r="A162" s="15">
        <f>IF(AA162="","",PROJ&amp;"-NOC-"&amp;Z162&amp;"-"&amp;TEXT(AA162,"0000"))</f>
        <v/>
      </c>
      <c r="B162" s="15">
        <f>IF(AA162="","",PROJ)</f>
        <v/>
      </c>
      <c r="C162" s="16" t="n"/>
      <c r="D162" s="16" t="n"/>
      <c r="E162" s="16" t="n"/>
      <c r="F162" s="16" t="n"/>
      <c r="G162" s="16" t="n"/>
      <c r="H162" s="16" t="n"/>
      <c r="I162" s="16" t="n"/>
      <c r="J162" s="16" t="n"/>
      <c r="K162" s="16" t="n"/>
      <c r="L162" s="16" t="n"/>
      <c r="M162" s="16" t="n"/>
      <c r="N162" s="16" t="n"/>
      <c r="O162" s="17" t="n"/>
      <c r="P162" s="16" t="n"/>
      <c r="Q162" s="16" t="n"/>
      <c r="R162" s="16" t="n"/>
      <c r="S162" s="16" t="n"/>
      <c r="T162" s="16" t="n"/>
      <c r="U162" s="16" t="n"/>
      <c r="V162" s="16" t="n"/>
      <c r="W162" s="16" t="n"/>
      <c r="X162" s="16" t="n"/>
      <c r="Y162" s="16" t="n"/>
      <c r="Z162" s="16" t="n"/>
      <c r="AA162" s="16" t="n"/>
      <c r="AB162" s="18" t="n"/>
      <c r="AC162" s="15">
        <f>IF(A162="","",IF(AB162=_xlfn.MAXIFS('Register'!$AB$6:$AB$505,'Register'!$A$6:$A$505,A162),"Y","N"))</f>
        <v/>
      </c>
      <c r="AD162" s="15">
        <f>IF(A162="","",COUNTIF('Register'!$A$6:$A$505,A162))</f>
        <v/>
      </c>
      <c r="AE162" s="17" t="n"/>
      <c r="AF162" s="16" t="n"/>
      <c r="AG162" s="17" t="n"/>
      <c r="AH162" s="17" t="n"/>
      <c r="AI162" s="19">
        <f>IF(AE162="","",AE162+IF(AF162="",TA_NOC,AF162))</f>
        <v/>
      </c>
      <c r="AJ162" s="15">
        <f>IF(AE162="","",IF(AG162="",DATADATE,AG162)-AE162)</f>
        <v/>
      </c>
      <c r="AK162" s="15">
        <f>IF(OR(AI162="",AG162&lt;&gt;""),"",IF(DATADATE&gt;AI162,"OVERDUE",""))</f>
        <v/>
      </c>
      <c r="AL162" s="15">
        <f>IF(AH162="","",IF(AH162&lt;DATADATE,"EXPIRED",IF(AH162-DATADATE&lt;=WARN_EXP,"EXPIRING","")))</f>
        <v/>
      </c>
      <c r="AM162" s="16" t="n"/>
      <c r="AN162" s="16" t="n"/>
      <c r="AO162" s="16" t="n"/>
      <c r="AP162" s="16" t="n"/>
    </row>
    <row r="163">
      <c r="A163" s="15">
        <f>IF(AA163="","",PROJ&amp;"-NOC-"&amp;Z163&amp;"-"&amp;TEXT(AA163,"0000"))</f>
        <v/>
      </c>
      <c r="B163" s="15">
        <f>IF(AA163="","",PROJ)</f>
        <v/>
      </c>
      <c r="C163" s="16" t="n"/>
      <c r="D163" s="16" t="n"/>
      <c r="E163" s="16" t="n"/>
      <c r="F163" s="16" t="n"/>
      <c r="G163" s="16" t="n"/>
      <c r="H163" s="16" t="n"/>
      <c r="I163" s="16" t="n"/>
      <c r="J163" s="16" t="n"/>
      <c r="K163" s="16" t="n"/>
      <c r="L163" s="16" t="n"/>
      <c r="M163" s="16" t="n"/>
      <c r="N163" s="16" t="n"/>
      <c r="O163" s="17" t="n"/>
      <c r="P163" s="16" t="n"/>
      <c r="Q163" s="16" t="n"/>
      <c r="R163" s="16" t="n"/>
      <c r="S163" s="16" t="n"/>
      <c r="T163" s="16" t="n"/>
      <c r="U163" s="16" t="n"/>
      <c r="V163" s="16" t="n"/>
      <c r="W163" s="16" t="n"/>
      <c r="X163" s="16" t="n"/>
      <c r="Y163" s="16" t="n"/>
      <c r="Z163" s="16" t="n"/>
      <c r="AA163" s="16" t="n"/>
      <c r="AB163" s="18" t="n"/>
      <c r="AC163" s="15">
        <f>IF(A163="","",IF(AB163=_xlfn.MAXIFS('Register'!$AB$6:$AB$505,'Register'!$A$6:$A$505,A163),"Y","N"))</f>
        <v/>
      </c>
      <c r="AD163" s="15">
        <f>IF(A163="","",COUNTIF('Register'!$A$6:$A$505,A163))</f>
        <v/>
      </c>
      <c r="AE163" s="17" t="n"/>
      <c r="AF163" s="16" t="n"/>
      <c r="AG163" s="17" t="n"/>
      <c r="AH163" s="17" t="n"/>
      <c r="AI163" s="19">
        <f>IF(AE163="","",AE163+IF(AF163="",TA_NOC,AF163))</f>
        <v/>
      </c>
      <c r="AJ163" s="15">
        <f>IF(AE163="","",IF(AG163="",DATADATE,AG163)-AE163)</f>
        <v/>
      </c>
      <c r="AK163" s="15">
        <f>IF(OR(AI163="",AG163&lt;&gt;""),"",IF(DATADATE&gt;AI163,"OVERDUE",""))</f>
        <v/>
      </c>
      <c r="AL163" s="15">
        <f>IF(AH163="","",IF(AH163&lt;DATADATE,"EXPIRED",IF(AH163-DATADATE&lt;=WARN_EXP,"EXPIRING","")))</f>
        <v/>
      </c>
      <c r="AM163" s="16" t="n"/>
      <c r="AN163" s="16" t="n"/>
      <c r="AO163" s="16" t="n"/>
      <c r="AP163" s="16" t="n"/>
    </row>
    <row r="164">
      <c r="A164" s="15">
        <f>IF(AA164="","",PROJ&amp;"-NOC-"&amp;Z164&amp;"-"&amp;TEXT(AA164,"0000"))</f>
        <v/>
      </c>
      <c r="B164" s="15">
        <f>IF(AA164="","",PROJ)</f>
        <v/>
      </c>
      <c r="C164" s="16" t="n"/>
      <c r="D164" s="16" t="n"/>
      <c r="E164" s="16" t="n"/>
      <c r="F164" s="16" t="n"/>
      <c r="G164" s="16" t="n"/>
      <c r="H164" s="16" t="n"/>
      <c r="I164" s="16" t="n"/>
      <c r="J164" s="16" t="n"/>
      <c r="K164" s="16" t="n"/>
      <c r="L164" s="16" t="n"/>
      <c r="M164" s="16" t="n"/>
      <c r="N164" s="16" t="n"/>
      <c r="O164" s="17" t="n"/>
      <c r="P164" s="16" t="n"/>
      <c r="Q164" s="16" t="n"/>
      <c r="R164" s="16" t="n"/>
      <c r="S164" s="16" t="n"/>
      <c r="T164" s="16" t="n"/>
      <c r="U164" s="16" t="n"/>
      <c r="V164" s="16" t="n"/>
      <c r="W164" s="16" t="n"/>
      <c r="X164" s="16" t="n"/>
      <c r="Y164" s="16" t="n"/>
      <c r="Z164" s="16" t="n"/>
      <c r="AA164" s="16" t="n"/>
      <c r="AB164" s="18" t="n"/>
      <c r="AC164" s="15">
        <f>IF(A164="","",IF(AB164=_xlfn.MAXIFS('Register'!$AB$6:$AB$505,'Register'!$A$6:$A$505,A164),"Y","N"))</f>
        <v/>
      </c>
      <c r="AD164" s="15">
        <f>IF(A164="","",COUNTIF('Register'!$A$6:$A$505,A164))</f>
        <v/>
      </c>
      <c r="AE164" s="17" t="n"/>
      <c r="AF164" s="16" t="n"/>
      <c r="AG164" s="17" t="n"/>
      <c r="AH164" s="17" t="n"/>
      <c r="AI164" s="19">
        <f>IF(AE164="","",AE164+IF(AF164="",TA_NOC,AF164))</f>
        <v/>
      </c>
      <c r="AJ164" s="15">
        <f>IF(AE164="","",IF(AG164="",DATADATE,AG164)-AE164)</f>
        <v/>
      </c>
      <c r="AK164" s="15">
        <f>IF(OR(AI164="",AG164&lt;&gt;""),"",IF(DATADATE&gt;AI164,"OVERDUE",""))</f>
        <v/>
      </c>
      <c r="AL164" s="15">
        <f>IF(AH164="","",IF(AH164&lt;DATADATE,"EXPIRED",IF(AH164-DATADATE&lt;=WARN_EXP,"EXPIRING","")))</f>
        <v/>
      </c>
      <c r="AM164" s="16" t="n"/>
      <c r="AN164" s="16" t="n"/>
      <c r="AO164" s="16" t="n"/>
      <c r="AP164" s="16" t="n"/>
    </row>
    <row r="165">
      <c r="A165" s="15">
        <f>IF(AA165="","",PROJ&amp;"-NOC-"&amp;Z165&amp;"-"&amp;TEXT(AA165,"0000"))</f>
        <v/>
      </c>
      <c r="B165" s="15">
        <f>IF(AA165="","",PROJ)</f>
        <v/>
      </c>
      <c r="C165" s="16" t="n"/>
      <c r="D165" s="16" t="n"/>
      <c r="E165" s="16" t="n"/>
      <c r="F165" s="16" t="n"/>
      <c r="G165" s="16" t="n"/>
      <c r="H165" s="16" t="n"/>
      <c r="I165" s="16" t="n"/>
      <c r="J165" s="16" t="n"/>
      <c r="K165" s="16" t="n"/>
      <c r="L165" s="16" t="n"/>
      <c r="M165" s="16" t="n"/>
      <c r="N165" s="16" t="n"/>
      <c r="O165" s="17" t="n"/>
      <c r="P165" s="16" t="n"/>
      <c r="Q165" s="16" t="n"/>
      <c r="R165" s="16" t="n"/>
      <c r="S165" s="16" t="n"/>
      <c r="T165" s="16" t="n"/>
      <c r="U165" s="16" t="n"/>
      <c r="V165" s="16" t="n"/>
      <c r="W165" s="16" t="n"/>
      <c r="X165" s="16" t="n"/>
      <c r="Y165" s="16" t="n"/>
      <c r="Z165" s="16" t="n"/>
      <c r="AA165" s="16" t="n"/>
      <c r="AB165" s="18" t="n"/>
      <c r="AC165" s="15">
        <f>IF(A165="","",IF(AB165=_xlfn.MAXIFS('Register'!$AB$6:$AB$505,'Register'!$A$6:$A$505,A165),"Y","N"))</f>
        <v/>
      </c>
      <c r="AD165" s="15">
        <f>IF(A165="","",COUNTIF('Register'!$A$6:$A$505,A165))</f>
        <v/>
      </c>
      <c r="AE165" s="17" t="n"/>
      <c r="AF165" s="16" t="n"/>
      <c r="AG165" s="17" t="n"/>
      <c r="AH165" s="17" t="n"/>
      <c r="AI165" s="19">
        <f>IF(AE165="","",AE165+IF(AF165="",TA_NOC,AF165))</f>
        <v/>
      </c>
      <c r="AJ165" s="15">
        <f>IF(AE165="","",IF(AG165="",DATADATE,AG165)-AE165)</f>
        <v/>
      </c>
      <c r="AK165" s="15">
        <f>IF(OR(AI165="",AG165&lt;&gt;""),"",IF(DATADATE&gt;AI165,"OVERDUE",""))</f>
        <v/>
      </c>
      <c r="AL165" s="15">
        <f>IF(AH165="","",IF(AH165&lt;DATADATE,"EXPIRED",IF(AH165-DATADATE&lt;=WARN_EXP,"EXPIRING","")))</f>
        <v/>
      </c>
      <c r="AM165" s="16" t="n"/>
      <c r="AN165" s="16" t="n"/>
      <c r="AO165" s="16" t="n"/>
      <c r="AP165" s="16" t="n"/>
    </row>
    <row r="166">
      <c r="A166" s="15">
        <f>IF(AA166="","",PROJ&amp;"-NOC-"&amp;Z166&amp;"-"&amp;TEXT(AA166,"0000"))</f>
        <v/>
      </c>
      <c r="B166" s="15">
        <f>IF(AA166="","",PROJ)</f>
        <v/>
      </c>
      <c r="C166" s="16" t="n"/>
      <c r="D166" s="16" t="n"/>
      <c r="E166" s="16" t="n"/>
      <c r="F166" s="16" t="n"/>
      <c r="G166" s="16" t="n"/>
      <c r="H166" s="16" t="n"/>
      <c r="I166" s="16" t="n"/>
      <c r="J166" s="16" t="n"/>
      <c r="K166" s="16" t="n"/>
      <c r="L166" s="16" t="n"/>
      <c r="M166" s="16" t="n"/>
      <c r="N166" s="16" t="n"/>
      <c r="O166" s="17" t="n"/>
      <c r="P166" s="16" t="n"/>
      <c r="Q166" s="16" t="n"/>
      <c r="R166" s="16" t="n"/>
      <c r="S166" s="16" t="n"/>
      <c r="T166" s="16" t="n"/>
      <c r="U166" s="16" t="n"/>
      <c r="V166" s="16" t="n"/>
      <c r="W166" s="16" t="n"/>
      <c r="X166" s="16" t="n"/>
      <c r="Y166" s="16" t="n"/>
      <c r="Z166" s="16" t="n"/>
      <c r="AA166" s="16" t="n"/>
      <c r="AB166" s="18" t="n"/>
      <c r="AC166" s="15">
        <f>IF(A166="","",IF(AB166=_xlfn.MAXIFS('Register'!$AB$6:$AB$505,'Register'!$A$6:$A$505,A166),"Y","N"))</f>
        <v/>
      </c>
      <c r="AD166" s="15">
        <f>IF(A166="","",COUNTIF('Register'!$A$6:$A$505,A166))</f>
        <v/>
      </c>
      <c r="AE166" s="17" t="n"/>
      <c r="AF166" s="16" t="n"/>
      <c r="AG166" s="17" t="n"/>
      <c r="AH166" s="17" t="n"/>
      <c r="AI166" s="19">
        <f>IF(AE166="","",AE166+IF(AF166="",TA_NOC,AF166))</f>
        <v/>
      </c>
      <c r="AJ166" s="15">
        <f>IF(AE166="","",IF(AG166="",DATADATE,AG166)-AE166)</f>
        <v/>
      </c>
      <c r="AK166" s="15">
        <f>IF(OR(AI166="",AG166&lt;&gt;""),"",IF(DATADATE&gt;AI166,"OVERDUE",""))</f>
        <v/>
      </c>
      <c r="AL166" s="15">
        <f>IF(AH166="","",IF(AH166&lt;DATADATE,"EXPIRED",IF(AH166-DATADATE&lt;=WARN_EXP,"EXPIRING","")))</f>
        <v/>
      </c>
      <c r="AM166" s="16" t="n"/>
      <c r="AN166" s="16" t="n"/>
      <c r="AO166" s="16" t="n"/>
      <c r="AP166" s="16" t="n"/>
    </row>
    <row r="167">
      <c r="A167" s="15">
        <f>IF(AA167="","",PROJ&amp;"-NOC-"&amp;Z167&amp;"-"&amp;TEXT(AA167,"0000"))</f>
        <v/>
      </c>
      <c r="B167" s="15">
        <f>IF(AA167="","",PROJ)</f>
        <v/>
      </c>
      <c r="C167" s="16" t="n"/>
      <c r="D167" s="16" t="n"/>
      <c r="E167" s="16" t="n"/>
      <c r="F167" s="16" t="n"/>
      <c r="G167" s="16" t="n"/>
      <c r="H167" s="16" t="n"/>
      <c r="I167" s="16" t="n"/>
      <c r="J167" s="16" t="n"/>
      <c r="K167" s="16" t="n"/>
      <c r="L167" s="16" t="n"/>
      <c r="M167" s="16" t="n"/>
      <c r="N167" s="16" t="n"/>
      <c r="O167" s="17" t="n"/>
      <c r="P167" s="16" t="n"/>
      <c r="Q167" s="16" t="n"/>
      <c r="R167" s="16" t="n"/>
      <c r="S167" s="16" t="n"/>
      <c r="T167" s="16" t="n"/>
      <c r="U167" s="16" t="n"/>
      <c r="V167" s="16" t="n"/>
      <c r="W167" s="16" t="n"/>
      <c r="X167" s="16" t="n"/>
      <c r="Y167" s="16" t="n"/>
      <c r="Z167" s="16" t="n"/>
      <c r="AA167" s="16" t="n"/>
      <c r="AB167" s="18" t="n"/>
      <c r="AC167" s="15">
        <f>IF(A167="","",IF(AB167=_xlfn.MAXIFS('Register'!$AB$6:$AB$505,'Register'!$A$6:$A$505,A167),"Y","N"))</f>
        <v/>
      </c>
      <c r="AD167" s="15">
        <f>IF(A167="","",COUNTIF('Register'!$A$6:$A$505,A167))</f>
        <v/>
      </c>
      <c r="AE167" s="17" t="n"/>
      <c r="AF167" s="16" t="n"/>
      <c r="AG167" s="17" t="n"/>
      <c r="AH167" s="17" t="n"/>
      <c r="AI167" s="19">
        <f>IF(AE167="","",AE167+IF(AF167="",TA_NOC,AF167))</f>
        <v/>
      </c>
      <c r="AJ167" s="15">
        <f>IF(AE167="","",IF(AG167="",DATADATE,AG167)-AE167)</f>
        <v/>
      </c>
      <c r="AK167" s="15">
        <f>IF(OR(AI167="",AG167&lt;&gt;""),"",IF(DATADATE&gt;AI167,"OVERDUE",""))</f>
        <v/>
      </c>
      <c r="AL167" s="15">
        <f>IF(AH167="","",IF(AH167&lt;DATADATE,"EXPIRED",IF(AH167-DATADATE&lt;=WARN_EXP,"EXPIRING","")))</f>
        <v/>
      </c>
      <c r="AM167" s="16" t="n"/>
      <c r="AN167" s="16" t="n"/>
      <c r="AO167" s="16" t="n"/>
      <c r="AP167" s="16" t="n"/>
    </row>
    <row r="168">
      <c r="A168" s="15">
        <f>IF(AA168="","",PROJ&amp;"-NOC-"&amp;Z168&amp;"-"&amp;TEXT(AA168,"0000"))</f>
        <v/>
      </c>
      <c r="B168" s="15">
        <f>IF(AA168="","",PROJ)</f>
        <v/>
      </c>
      <c r="C168" s="16" t="n"/>
      <c r="D168" s="16" t="n"/>
      <c r="E168" s="16" t="n"/>
      <c r="F168" s="16" t="n"/>
      <c r="G168" s="16" t="n"/>
      <c r="H168" s="16" t="n"/>
      <c r="I168" s="16" t="n"/>
      <c r="J168" s="16" t="n"/>
      <c r="K168" s="16" t="n"/>
      <c r="L168" s="16" t="n"/>
      <c r="M168" s="16" t="n"/>
      <c r="N168" s="16" t="n"/>
      <c r="O168" s="17" t="n"/>
      <c r="P168" s="16" t="n"/>
      <c r="Q168" s="16" t="n"/>
      <c r="R168" s="16" t="n"/>
      <c r="S168" s="16" t="n"/>
      <c r="T168" s="16" t="n"/>
      <c r="U168" s="16" t="n"/>
      <c r="V168" s="16" t="n"/>
      <c r="W168" s="16" t="n"/>
      <c r="X168" s="16" t="n"/>
      <c r="Y168" s="16" t="n"/>
      <c r="Z168" s="16" t="n"/>
      <c r="AA168" s="16" t="n"/>
      <c r="AB168" s="18" t="n"/>
      <c r="AC168" s="15">
        <f>IF(A168="","",IF(AB168=_xlfn.MAXIFS('Register'!$AB$6:$AB$505,'Register'!$A$6:$A$505,A168),"Y","N"))</f>
        <v/>
      </c>
      <c r="AD168" s="15">
        <f>IF(A168="","",COUNTIF('Register'!$A$6:$A$505,A168))</f>
        <v/>
      </c>
      <c r="AE168" s="17" t="n"/>
      <c r="AF168" s="16" t="n"/>
      <c r="AG168" s="17" t="n"/>
      <c r="AH168" s="17" t="n"/>
      <c r="AI168" s="19">
        <f>IF(AE168="","",AE168+IF(AF168="",TA_NOC,AF168))</f>
        <v/>
      </c>
      <c r="AJ168" s="15">
        <f>IF(AE168="","",IF(AG168="",DATADATE,AG168)-AE168)</f>
        <v/>
      </c>
      <c r="AK168" s="15">
        <f>IF(OR(AI168="",AG168&lt;&gt;""),"",IF(DATADATE&gt;AI168,"OVERDUE",""))</f>
        <v/>
      </c>
      <c r="AL168" s="15">
        <f>IF(AH168="","",IF(AH168&lt;DATADATE,"EXPIRED",IF(AH168-DATADATE&lt;=WARN_EXP,"EXPIRING","")))</f>
        <v/>
      </c>
      <c r="AM168" s="16" t="n"/>
      <c r="AN168" s="16" t="n"/>
      <c r="AO168" s="16" t="n"/>
      <c r="AP168" s="16" t="n"/>
    </row>
    <row r="169">
      <c r="A169" s="15">
        <f>IF(AA169="","",PROJ&amp;"-NOC-"&amp;Z169&amp;"-"&amp;TEXT(AA169,"0000"))</f>
        <v/>
      </c>
      <c r="B169" s="15">
        <f>IF(AA169="","",PROJ)</f>
        <v/>
      </c>
      <c r="C169" s="16" t="n"/>
      <c r="D169" s="16" t="n"/>
      <c r="E169" s="16" t="n"/>
      <c r="F169" s="16" t="n"/>
      <c r="G169" s="16" t="n"/>
      <c r="H169" s="16" t="n"/>
      <c r="I169" s="16" t="n"/>
      <c r="J169" s="16" t="n"/>
      <c r="K169" s="16" t="n"/>
      <c r="L169" s="16" t="n"/>
      <c r="M169" s="16" t="n"/>
      <c r="N169" s="16" t="n"/>
      <c r="O169" s="17" t="n"/>
      <c r="P169" s="16" t="n"/>
      <c r="Q169" s="16" t="n"/>
      <c r="R169" s="16" t="n"/>
      <c r="S169" s="16" t="n"/>
      <c r="T169" s="16" t="n"/>
      <c r="U169" s="16" t="n"/>
      <c r="V169" s="16" t="n"/>
      <c r="W169" s="16" t="n"/>
      <c r="X169" s="16" t="n"/>
      <c r="Y169" s="16" t="n"/>
      <c r="Z169" s="16" t="n"/>
      <c r="AA169" s="16" t="n"/>
      <c r="AB169" s="18" t="n"/>
      <c r="AC169" s="15">
        <f>IF(A169="","",IF(AB169=_xlfn.MAXIFS('Register'!$AB$6:$AB$505,'Register'!$A$6:$A$505,A169),"Y","N"))</f>
        <v/>
      </c>
      <c r="AD169" s="15">
        <f>IF(A169="","",COUNTIF('Register'!$A$6:$A$505,A169))</f>
        <v/>
      </c>
      <c r="AE169" s="17" t="n"/>
      <c r="AF169" s="16" t="n"/>
      <c r="AG169" s="17" t="n"/>
      <c r="AH169" s="17" t="n"/>
      <c r="AI169" s="19">
        <f>IF(AE169="","",AE169+IF(AF169="",TA_NOC,AF169))</f>
        <v/>
      </c>
      <c r="AJ169" s="15">
        <f>IF(AE169="","",IF(AG169="",DATADATE,AG169)-AE169)</f>
        <v/>
      </c>
      <c r="AK169" s="15">
        <f>IF(OR(AI169="",AG169&lt;&gt;""),"",IF(DATADATE&gt;AI169,"OVERDUE",""))</f>
        <v/>
      </c>
      <c r="AL169" s="15">
        <f>IF(AH169="","",IF(AH169&lt;DATADATE,"EXPIRED",IF(AH169-DATADATE&lt;=WARN_EXP,"EXPIRING","")))</f>
        <v/>
      </c>
      <c r="AM169" s="16" t="n"/>
      <c r="AN169" s="16" t="n"/>
      <c r="AO169" s="16" t="n"/>
      <c r="AP169" s="16" t="n"/>
    </row>
    <row r="170">
      <c r="A170" s="15">
        <f>IF(AA170="","",PROJ&amp;"-NOC-"&amp;Z170&amp;"-"&amp;TEXT(AA170,"0000"))</f>
        <v/>
      </c>
      <c r="B170" s="15">
        <f>IF(AA170="","",PROJ)</f>
        <v/>
      </c>
      <c r="C170" s="16" t="n"/>
      <c r="D170" s="16" t="n"/>
      <c r="E170" s="16" t="n"/>
      <c r="F170" s="16" t="n"/>
      <c r="G170" s="16" t="n"/>
      <c r="H170" s="16" t="n"/>
      <c r="I170" s="16" t="n"/>
      <c r="J170" s="16" t="n"/>
      <c r="K170" s="16" t="n"/>
      <c r="L170" s="16" t="n"/>
      <c r="M170" s="16" t="n"/>
      <c r="N170" s="16" t="n"/>
      <c r="O170" s="17" t="n"/>
      <c r="P170" s="16" t="n"/>
      <c r="Q170" s="16" t="n"/>
      <c r="R170" s="16" t="n"/>
      <c r="S170" s="16" t="n"/>
      <c r="T170" s="16" t="n"/>
      <c r="U170" s="16" t="n"/>
      <c r="V170" s="16" t="n"/>
      <c r="W170" s="16" t="n"/>
      <c r="X170" s="16" t="n"/>
      <c r="Y170" s="16" t="n"/>
      <c r="Z170" s="16" t="n"/>
      <c r="AA170" s="16" t="n"/>
      <c r="AB170" s="18" t="n"/>
      <c r="AC170" s="15">
        <f>IF(A170="","",IF(AB170=_xlfn.MAXIFS('Register'!$AB$6:$AB$505,'Register'!$A$6:$A$505,A170),"Y","N"))</f>
        <v/>
      </c>
      <c r="AD170" s="15">
        <f>IF(A170="","",COUNTIF('Register'!$A$6:$A$505,A170))</f>
        <v/>
      </c>
      <c r="AE170" s="17" t="n"/>
      <c r="AF170" s="16" t="n"/>
      <c r="AG170" s="17" t="n"/>
      <c r="AH170" s="17" t="n"/>
      <c r="AI170" s="19">
        <f>IF(AE170="","",AE170+IF(AF170="",TA_NOC,AF170))</f>
        <v/>
      </c>
      <c r="AJ170" s="15">
        <f>IF(AE170="","",IF(AG170="",DATADATE,AG170)-AE170)</f>
        <v/>
      </c>
      <c r="AK170" s="15">
        <f>IF(OR(AI170="",AG170&lt;&gt;""),"",IF(DATADATE&gt;AI170,"OVERDUE",""))</f>
        <v/>
      </c>
      <c r="AL170" s="15">
        <f>IF(AH170="","",IF(AH170&lt;DATADATE,"EXPIRED",IF(AH170-DATADATE&lt;=WARN_EXP,"EXPIRING","")))</f>
        <v/>
      </c>
      <c r="AM170" s="16" t="n"/>
      <c r="AN170" s="16" t="n"/>
      <c r="AO170" s="16" t="n"/>
      <c r="AP170" s="16" t="n"/>
    </row>
    <row r="171">
      <c r="A171" s="15">
        <f>IF(AA171="","",PROJ&amp;"-NOC-"&amp;Z171&amp;"-"&amp;TEXT(AA171,"0000"))</f>
        <v/>
      </c>
      <c r="B171" s="15">
        <f>IF(AA171="","",PROJ)</f>
        <v/>
      </c>
      <c r="C171" s="16" t="n"/>
      <c r="D171" s="16" t="n"/>
      <c r="E171" s="16" t="n"/>
      <c r="F171" s="16" t="n"/>
      <c r="G171" s="16" t="n"/>
      <c r="H171" s="16" t="n"/>
      <c r="I171" s="16" t="n"/>
      <c r="J171" s="16" t="n"/>
      <c r="K171" s="16" t="n"/>
      <c r="L171" s="16" t="n"/>
      <c r="M171" s="16" t="n"/>
      <c r="N171" s="16" t="n"/>
      <c r="O171" s="17" t="n"/>
      <c r="P171" s="16" t="n"/>
      <c r="Q171" s="16" t="n"/>
      <c r="R171" s="16" t="n"/>
      <c r="S171" s="16" t="n"/>
      <c r="T171" s="16" t="n"/>
      <c r="U171" s="16" t="n"/>
      <c r="V171" s="16" t="n"/>
      <c r="W171" s="16" t="n"/>
      <c r="X171" s="16" t="n"/>
      <c r="Y171" s="16" t="n"/>
      <c r="Z171" s="16" t="n"/>
      <c r="AA171" s="16" t="n"/>
      <c r="AB171" s="18" t="n"/>
      <c r="AC171" s="15">
        <f>IF(A171="","",IF(AB171=_xlfn.MAXIFS('Register'!$AB$6:$AB$505,'Register'!$A$6:$A$505,A171),"Y","N"))</f>
        <v/>
      </c>
      <c r="AD171" s="15">
        <f>IF(A171="","",COUNTIF('Register'!$A$6:$A$505,A171))</f>
        <v/>
      </c>
      <c r="AE171" s="17" t="n"/>
      <c r="AF171" s="16" t="n"/>
      <c r="AG171" s="17" t="n"/>
      <c r="AH171" s="17" t="n"/>
      <c r="AI171" s="19">
        <f>IF(AE171="","",AE171+IF(AF171="",TA_NOC,AF171))</f>
        <v/>
      </c>
      <c r="AJ171" s="15">
        <f>IF(AE171="","",IF(AG171="",DATADATE,AG171)-AE171)</f>
        <v/>
      </c>
      <c r="AK171" s="15">
        <f>IF(OR(AI171="",AG171&lt;&gt;""),"",IF(DATADATE&gt;AI171,"OVERDUE",""))</f>
        <v/>
      </c>
      <c r="AL171" s="15">
        <f>IF(AH171="","",IF(AH171&lt;DATADATE,"EXPIRED",IF(AH171-DATADATE&lt;=WARN_EXP,"EXPIRING","")))</f>
        <v/>
      </c>
      <c r="AM171" s="16" t="n"/>
      <c r="AN171" s="16" t="n"/>
      <c r="AO171" s="16" t="n"/>
      <c r="AP171" s="16" t="n"/>
    </row>
    <row r="172">
      <c r="A172" s="15">
        <f>IF(AA172="","",PROJ&amp;"-NOC-"&amp;Z172&amp;"-"&amp;TEXT(AA172,"0000"))</f>
        <v/>
      </c>
      <c r="B172" s="15">
        <f>IF(AA172="","",PROJ)</f>
        <v/>
      </c>
      <c r="C172" s="16" t="n"/>
      <c r="D172" s="16" t="n"/>
      <c r="E172" s="16" t="n"/>
      <c r="F172" s="16" t="n"/>
      <c r="G172" s="16" t="n"/>
      <c r="H172" s="16" t="n"/>
      <c r="I172" s="16" t="n"/>
      <c r="J172" s="16" t="n"/>
      <c r="K172" s="16" t="n"/>
      <c r="L172" s="16" t="n"/>
      <c r="M172" s="16" t="n"/>
      <c r="N172" s="16" t="n"/>
      <c r="O172" s="17" t="n"/>
      <c r="P172" s="16" t="n"/>
      <c r="Q172" s="16" t="n"/>
      <c r="R172" s="16" t="n"/>
      <c r="S172" s="16" t="n"/>
      <c r="T172" s="16" t="n"/>
      <c r="U172" s="16" t="n"/>
      <c r="V172" s="16" t="n"/>
      <c r="W172" s="16" t="n"/>
      <c r="X172" s="16" t="n"/>
      <c r="Y172" s="16" t="n"/>
      <c r="Z172" s="16" t="n"/>
      <c r="AA172" s="16" t="n"/>
      <c r="AB172" s="18" t="n"/>
      <c r="AC172" s="15">
        <f>IF(A172="","",IF(AB172=_xlfn.MAXIFS('Register'!$AB$6:$AB$505,'Register'!$A$6:$A$505,A172),"Y","N"))</f>
        <v/>
      </c>
      <c r="AD172" s="15">
        <f>IF(A172="","",COUNTIF('Register'!$A$6:$A$505,A172))</f>
        <v/>
      </c>
      <c r="AE172" s="17" t="n"/>
      <c r="AF172" s="16" t="n"/>
      <c r="AG172" s="17" t="n"/>
      <c r="AH172" s="17" t="n"/>
      <c r="AI172" s="19">
        <f>IF(AE172="","",AE172+IF(AF172="",TA_NOC,AF172))</f>
        <v/>
      </c>
      <c r="AJ172" s="15">
        <f>IF(AE172="","",IF(AG172="",DATADATE,AG172)-AE172)</f>
        <v/>
      </c>
      <c r="AK172" s="15">
        <f>IF(OR(AI172="",AG172&lt;&gt;""),"",IF(DATADATE&gt;AI172,"OVERDUE",""))</f>
        <v/>
      </c>
      <c r="AL172" s="15">
        <f>IF(AH172="","",IF(AH172&lt;DATADATE,"EXPIRED",IF(AH172-DATADATE&lt;=WARN_EXP,"EXPIRING","")))</f>
        <v/>
      </c>
      <c r="AM172" s="16" t="n"/>
      <c r="AN172" s="16" t="n"/>
      <c r="AO172" s="16" t="n"/>
      <c r="AP172" s="16" t="n"/>
    </row>
    <row r="173">
      <c r="A173" s="15">
        <f>IF(AA173="","",PROJ&amp;"-NOC-"&amp;Z173&amp;"-"&amp;TEXT(AA173,"0000"))</f>
        <v/>
      </c>
      <c r="B173" s="15">
        <f>IF(AA173="","",PROJ)</f>
        <v/>
      </c>
      <c r="C173" s="16" t="n"/>
      <c r="D173" s="16" t="n"/>
      <c r="E173" s="16" t="n"/>
      <c r="F173" s="16" t="n"/>
      <c r="G173" s="16" t="n"/>
      <c r="H173" s="16" t="n"/>
      <c r="I173" s="16" t="n"/>
      <c r="J173" s="16" t="n"/>
      <c r="K173" s="16" t="n"/>
      <c r="L173" s="16" t="n"/>
      <c r="M173" s="16" t="n"/>
      <c r="N173" s="16" t="n"/>
      <c r="O173" s="17" t="n"/>
      <c r="P173" s="16" t="n"/>
      <c r="Q173" s="16" t="n"/>
      <c r="R173" s="16" t="n"/>
      <c r="S173" s="16" t="n"/>
      <c r="T173" s="16" t="n"/>
      <c r="U173" s="16" t="n"/>
      <c r="V173" s="16" t="n"/>
      <c r="W173" s="16" t="n"/>
      <c r="X173" s="16" t="n"/>
      <c r="Y173" s="16" t="n"/>
      <c r="Z173" s="16" t="n"/>
      <c r="AA173" s="16" t="n"/>
      <c r="AB173" s="18" t="n"/>
      <c r="AC173" s="15">
        <f>IF(A173="","",IF(AB173=_xlfn.MAXIFS('Register'!$AB$6:$AB$505,'Register'!$A$6:$A$505,A173),"Y","N"))</f>
        <v/>
      </c>
      <c r="AD173" s="15">
        <f>IF(A173="","",COUNTIF('Register'!$A$6:$A$505,A173))</f>
        <v/>
      </c>
      <c r="AE173" s="17" t="n"/>
      <c r="AF173" s="16" t="n"/>
      <c r="AG173" s="17" t="n"/>
      <c r="AH173" s="17" t="n"/>
      <c r="AI173" s="19">
        <f>IF(AE173="","",AE173+IF(AF173="",TA_NOC,AF173))</f>
        <v/>
      </c>
      <c r="AJ173" s="15">
        <f>IF(AE173="","",IF(AG173="",DATADATE,AG173)-AE173)</f>
        <v/>
      </c>
      <c r="AK173" s="15">
        <f>IF(OR(AI173="",AG173&lt;&gt;""),"",IF(DATADATE&gt;AI173,"OVERDUE",""))</f>
        <v/>
      </c>
      <c r="AL173" s="15">
        <f>IF(AH173="","",IF(AH173&lt;DATADATE,"EXPIRED",IF(AH173-DATADATE&lt;=WARN_EXP,"EXPIRING","")))</f>
        <v/>
      </c>
      <c r="AM173" s="16" t="n"/>
      <c r="AN173" s="16" t="n"/>
      <c r="AO173" s="16" t="n"/>
      <c r="AP173" s="16" t="n"/>
    </row>
    <row r="174">
      <c r="A174" s="15">
        <f>IF(AA174="","",PROJ&amp;"-NOC-"&amp;Z174&amp;"-"&amp;TEXT(AA174,"0000"))</f>
        <v/>
      </c>
      <c r="B174" s="15">
        <f>IF(AA174="","",PROJ)</f>
        <v/>
      </c>
      <c r="C174" s="16" t="n"/>
      <c r="D174" s="16" t="n"/>
      <c r="E174" s="16" t="n"/>
      <c r="F174" s="16" t="n"/>
      <c r="G174" s="16" t="n"/>
      <c r="H174" s="16" t="n"/>
      <c r="I174" s="16" t="n"/>
      <c r="J174" s="16" t="n"/>
      <c r="K174" s="16" t="n"/>
      <c r="L174" s="16" t="n"/>
      <c r="M174" s="16" t="n"/>
      <c r="N174" s="16" t="n"/>
      <c r="O174" s="17" t="n"/>
      <c r="P174" s="16" t="n"/>
      <c r="Q174" s="16" t="n"/>
      <c r="R174" s="16" t="n"/>
      <c r="S174" s="16" t="n"/>
      <c r="T174" s="16" t="n"/>
      <c r="U174" s="16" t="n"/>
      <c r="V174" s="16" t="n"/>
      <c r="W174" s="16" t="n"/>
      <c r="X174" s="16" t="n"/>
      <c r="Y174" s="16" t="n"/>
      <c r="Z174" s="16" t="n"/>
      <c r="AA174" s="16" t="n"/>
      <c r="AB174" s="18" t="n"/>
      <c r="AC174" s="15">
        <f>IF(A174="","",IF(AB174=_xlfn.MAXIFS('Register'!$AB$6:$AB$505,'Register'!$A$6:$A$505,A174),"Y","N"))</f>
        <v/>
      </c>
      <c r="AD174" s="15">
        <f>IF(A174="","",COUNTIF('Register'!$A$6:$A$505,A174))</f>
        <v/>
      </c>
      <c r="AE174" s="17" t="n"/>
      <c r="AF174" s="16" t="n"/>
      <c r="AG174" s="17" t="n"/>
      <c r="AH174" s="17" t="n"/>
      <c r="AI174" s="19">
        <f>IF(AE174="","",AE174+IF(AF174="",TA_NOC,AF174))</f>
        <v/>
      </c>
      <c r="AJ174" s="15">
        <f>IF(AE174="","",IF(AG174="",DATADATE,AG174)-AE174)</f>
        <v/>
      </c>
      <c r="AK174" s="15">
        <f>IF(OR(AI174="",AG174&lt;&gt;""),"",IF(DATADATE&gt;AI174,"OVERDUE",""))</f>
        <v/>
      </c>
      <c r="AL174" s="15">
        <f>IF(AH174="","",IF(AH174&lt;DATADATE,"EXPIRED",IF(AH174-DATADATE&lt;=WARN_EXP,"EXPIRING","")))</f>
        <v/>
      </c>
      <c r="AM174" s="16" t="n"/>
      <c r="AN174" s="16" t="n"/>
      <c r="AO174" s="16" t="n"/>
      <c r="AP174" s="16" t="n"/>
    </row>
    <row r="175">
      <c r="A175" s="15">
        <f>IF(AA175="","",PROJ&amp;"-NOC-"&amp;Z175&amp;"-"&amp;TEXT(AA175,"0000"))</f>
        <v/>
      </c>
      <c r="B175" s="15">
        <f>IF(AA175="","",PROJ)</f>
        <v/>
      </c>
      <c r="C175" s="16" t="n"/>
      <c r="D175" s="16" t="n"/>
      <c r="E175" s="16" t="n"/>
      <c r="F175" s="16" t="n"/>
      <c r="G175" s="16" t="n"/>
      <c r="H175" s="16" t="n"/>
      <c r="I175" s="16" t="n"/>
      <c r="J175" s="16" t="n"/>
      <c r="K175" s="16" t="n"/>
      <c r="L175" s="16" t="n"/>
      <c r="M175" s="16" t="n"/>
      <c r="N175" s="16" t="n"/>
      <c r="O175" s="17" t="n"/>
      <c r="P175" s="16" t="n"/>
      <c r="Q175" s="16" t="n"/>
      <c r="R175" s="16" t="n"/>
      <c r="S175" s="16" t="n"/>
      <c r="T175" s="16" t="n"/>
      <c r="U175" s="16" t="n"/>
      <c r="V175" s="16" t="n"/>
      <c r="W175" s="16" t="n"/>
      <c r="X175" s="16" t="n"/>
      <c r="Y175" s="16" t="n"/>
      <c r="Z175" s="16" t="n"/>
      <c r="AA175" s="16" t="n"/>
      <c r="AB175" s="18" t="n"/>
      <c r="AC175" s="15">
        <f>IF(A175="","",IF(AB175=_xlfn.MAXIFS('Register'!$AB$6:$AB$505,'Register'!$A$6:$A$505,A175),"Y","N"))</f>
        <v/>
      </c>
      <c r="AD175" s="15">
        <f>IF(A175="","",COUNTIF('Register'!$A$6:$A$505,A175))</f>
        <v/>
      </c>
      <c r="AE175" s="17" t="n"/>
      <c r="AF175" s="16" t="n"/>
      <c r="AG175" s="17" t="n"/>
      <c r="AH175" s="17" t="n"/>
      <c r="AI175" s="19">
        <f>IF(AE175="","",AE175+IF(AF175="",TA_NOC,AF175))</f>
        <v/>
      </c>
      <c r="AJ175" s="15">
        <f>IF(AE175="","",IF(AG175="",DATADATE,AG175)-AE175)</f>
        <v/>
      </c>
      <c r="AK175" s="15">
        <f>IF(OR(AI175="",AG175&lt;&gt;""),"",IF(DATADATE&gt;AI175,"OVERDUE",""))</f>
        <v/>
      </c>
      <c r="AL175" s="15">
        <f>IF(AH175="","",IF(AH175&lt;DATADATE,"EXPIRED",IF(AH175-DATADATE&lt;=WARN_EXP,"EXPIRING","")))</f>
        <v/>
      </c>
      <c r="AM175" s="16" t="n"/>
      <c r="AN175" s="16" t="n"/>
      <c r="AO175" s="16" t="n"/>
      <c r="AP175" s="16" t="n"/>
    </row>
    <row r="176">
      <c r="A176" s="15">
        <f>IF(AA176="","",PROJ&amp;"-NOC-"&amp;Z176&amp;"-"&amp;TEXT(AA176,"0000"))</f>
        <v/>
      </c>
      <c r="B176" s="15">
        <f>IF(AA176="","",PROJ)</f>
        <v/>
      </c>
      <c r="C176" s="16" t="n"/>
      <c r="D176" s="16" t="n"/>
      <c r="E176" s="16" t="n"/>
      <c r="F176" s="16" t="n"/>
      <c r="G176" s="16" t="n"/>
      <c r="H176" s="16" t="n"/>
      <c r="I176" s="16" t="n"/>
      <c r="J176" s="16" t="n"/>
      <c r="K176" s="16" t="n"/>
      <c r="L176" s="16" t="n"/>
      <c r="M176" s="16" t="n"/>
      <c r="N176" s="16" t="n"/>
      <c r="O176" s="17" t="n"/>
      <c r="P176" s="16" t="n"/>
      <c r="Q176" s="16" t="n"/>
      <c r="R176" s="16" t="n"/>
      <c r="S176" s="16" t="n"/>
      <c r="T176" s="16" t="n"/>
      <c r="U176" s="16" t="n"/>
      <c r="V176" s="16" t="n"/>
      <c r="W176" s="16" t="n"/>
      <c r="X176" s="16" t="n"/>
      <c r="Y176" s="16" t="n"/>
      <c r="Z176" s="16" t="n"/>
      <c r="AA176" s="16" t="n"/>
      <c r="AB176" s="18" t="n"/>
      <c r="AC176" s="15">
        <f>IF(A176="","",IF(AB176=_xlfn.MAXIFS('Register'!$AB$6:$AB$505,'Register'!$A$6:$A$505,A176),"Y","N"))</f>
        <v/>
      </c>
      <c r="AD176" s="15">
        <f>IF(A176="","",COUNTIF('Register'!$A$6:$A$505,A176))</f>
        <v/>
      </c>
      <c r="AE176" s="17" t="n"/>
      <c r="AF176" s="16" t="n"/>
      <c r="AG176" s="17" t="n"/>
      <c r="AH176" s="17" t="n"/>
      <c r="AI176" s="19">
        <f>IF(AE176="","",AE176+IF(AF176="",TA_NOC,AF176))</f>
        <v/>
      </c>
      <c r="AJ176" s="15">
        <f>IF(AE176="","",IF(AG176="",DATADATE,AG176)-AE176)</f>
        <v/>
      </c>
      <c r="AK176" s="15">
        <f>IF(OR(AI176="",AG176&lt;&gt;""),"",IF(DATADATE&gt;AI176,"OVERDUE",""))</f>
        <v/>
      </c>
      <c r="AL176" s="15">
        <f>IF(AH176="","",IF(AH176&lt;DATADATE,"EXPIRED",IF(AH176-DATADATE&lt;=WARN_EXP,"EXPIRING","")))</f>
        <v/>
      </c>
      <c r="AM176" s="16" t="n"/>
      <c r="AN176" s="16" t="n"/>
      <c r="AO176" s="16" t="n"/>
      <c r="AP176" s="16" t="n"/>
    </row>
    <row r="177">
      <c r="A177" s="15">
        <f>IF(AA177="","",PROJ&amp;"-NOC-"&amp;Z177&amp;"-"&amp;TEXT(AA177,"0000"))</f>
        <v/>
      </c>
      <c r="B177" s="15">
        <f>IF(AA177="","",PROJ)</f>
        <v/>
      </c>
      <c r="C177" s="16" t="n"/>
      <c r="D177" s="16" t="n"/>
      <c r="E177" s="16" t="n"/>
      <c r="F177" s="16" t="n"/>
      <c r="G177" s="16" t="n"/>
      <c r="H177" s="16" t="n"/>
      <c r="I177" s="16" t="n"/>
      <c r="J177" s="16" t="n"/>
      <c r="K177" s="16" t="n"/>
      <c r="L177" s="16" t="n"/>
      <c r="M177" s="16" t="n"/>
      <c r="N177" s="16" t="n"/>
      <c r="O177" s="17" t="n"/>
      <c r="P177" s="16" t="n"/>
      <c r="Q177" s="16" t="n"/>
      <c r="R177" s="16" t="n"/>
      <c r="S177" s="16" t="n"/>
      <c r="T177" s="16" t="n"/>
      <c r="U177" s="16" t="n"/>
      <c r="V177" s="16" t="n"/>
      <c r="W177" s="16" t="n"/>
      <c r="X177" s="16" t="n"/>
      <c r="Y177" s="16" t="n"/>
      <c r="Z177" s="16" t="n"/>
      <c r="AA177" s="16" t="n"/>
      <c r="AB177" s="18" t="n"/>
      <c r="AC177" s="15">
        <f>IF(A177="","",IF(AB177=_xlfn.MAXIFS('Register'!$AB$6:$AB$505,'Register'!$A$6:$A$505,A177),"Y","N"))</f>
        <v/>
      </c>
      <c r="AD177" s="15">
        <f>IF(A177="","",COUNTIF('Register'!$A$6:$A$505,A177))</f>
        <v/>
      </c>
      <c r="AE177" s="17" t="n"/>
      <c r="AF177" s="16" t="n"/>
      <c r="AG177" s="17" t="n"/>
      <c r="AH177" s="17" t="n"/>
      <c r="AI177" s="19">
        <f>IF(AE177="","",AE177+IF(AF177="",TA_NOC,AF177))</f>
        <v/>
      </c>
      <c r="AJ177" s="15">
        <f>IF(AE177="","",IF(AG177="",DATADATE,AG177)-AE177)</f>
        <v/>
      </c>
      <c r="AK177" s="15">
        <f>IF(OR(AI177="",AG177&lt;&gt;""),"",IF(DATADATE&gt;AI177,"OVERDUE",""))</f>
        <v/>
      </c>
      <c r="AL177" s="15">
        <f>IF(AH177="","",IF(AH177&lt;DATADATE,"EXPIRED",IF(AH177-DATADATE&lt;=WARN_EXP,"EXPIRING","")))</f>
        <v/>
      </c>
      <c r="AM177" s="16" t="n"/>
      <c r="AN177" s="16" t="n"/>
      <c r="AO177" s="16" t="n"/>
      <c r="AP177" s="16" t="n"/>
    </row>
    <row r="178">
      <c r="A178" s="15">
        <f>IF(AA178="","",PROJ&amp;"-NOC-"&amp;Z178&amp;"-"&amp;TEXT(AA178,"0000"))</f>
        <v/>
      </c>
      <c r="B178" s="15">
        <f>IF(AA178="","",PROJ)</f>
        <v/>
      </c>
      <c r="C178" s="16" t="n"/>
      <c r="D178" s="16" t="n"/>
      <c r="E178" s="16" t="n"/>
      <c r="F178" s="16" t="n"/>
      <c r="G178" s="16" t="n"/>
      <c r="H178" s="16" t="n"/>
      <c r="I178" s="16" t="n"/>
      <c r="J178" s="16" t="n"/>
      <c r="K178" s="16" t="n"/>
      <c r="L178" s="16" t="n"/>
      <c r="M178" s="16" t="n"/>
      <c r="N178" s="16" t="n"/>
      <c r="O178" s="17" t="n"/>
      <c r="P178" s="16" t="n"/>
      <c r="Q178" s="16" t="n"/>
      <c r="R178" s="16" t="n"/>
      <c r="S178" s="16" t="n"/>
      <c r="T178" s="16" t="n"/>
      <c r="U178" s="16" t="n"/>
      <c r="V178" s="16" t="n"/>
      <c r="W178" s="16" t="n"/>
      <c r="X178" s="16" t="n"/>
      <c r="Y178" s="16" t="n"/>
      <c r="Z178" s="16" t="n"/>
      <c r="AA178" s="16" t="n"/>
      <c r="AB178" s="18" t="n"/>
      <c r="AC178" s="15">
        <f>IF(A178="","",IF(AB178=_xlfn.MAXIFS('Register'!$AB$6:$AB$505,'Register'!$A$6:$A$505,A178),"Y","N"))</f>
        <v/>
      </c>
      <c r="AD178" s="15">
        <f>IF(A178="","",COUNTIF('Register'!$A$6:$A$505,A178))</f>
        <v/>
      </c>
      <c r="AE178" s="17" t="n"/>
      <c r="AF178" s="16" t="n"/>
      <c r="AG178" s="17" t="n"/>
      <c r="AH178" s="17" t="n"/>
      <c r="AI178" s="19">
        <f>IF(AE178="","",AE178+IF(AF178="",TA_NOC,AF178))</f>
        <v/>
      </c>
      <c r="AJ178" s="15">
        <f>IF(AE178="","",IF(AG178="",DATADATE,AG178)-AE178)</f>
        <v/>
      </c>
      <c r="AK178" s="15">
        <f>IF(OR(AI178="",AG178&lt;&gt;""),"",IF(DATADATE&gt;AI178,"OVERDUE",""))</f>
        <v/>
      </c>
      <c r="AL178" s="15">
        <f>IF(AH178="","",IF(AH178&lt;DATADATE,"EXPIRED",IF(AH178-DATADATE&lt;=WARN_EXP,"EXPIRING","")))</f>
        <v/>
      </c>
      <c r="AM178" s="16" t="n"/>
      <c r="AN178" s="16" t="n"/>
      <c r="AO178" s="16" t="n"/>
      <c r="AP178" s="16" t="n"/>
    </row>
    <row r="179">
      <c r="A179" s="15">
        <f>IF(AA179="","",PROJ&amp;"-NOC-"&amp;Z179&amp;"-"&amp;TEXT(AA179,"0000"))</f>
        <v/>
      </c>
      <c r="B179" s="15">
        <f>IF(AA179="","",PROJ)</f>
        <v/>
      </c>
      <c r="C179" s="16" t="n"/>
      <c r="D179" s="16" t="n"/>
      <c r="E179" s="16" t="n"/>
      <c r="F179" s="16" t="n"/>
      <c r="G179" s="16" t="n"/>
      <c r="H179" s="16" t="n"/>
      <c r="I179" s="16" t="n"/>
      <c r="J179" s="16" t="n"/>
      <c r="K179" s="16" t="n"/>
      <c r="L179" s="16" t="n"/>
      <c r="M179" s="16" t="n"/>
      <c r="N179" s="16" t="n"/>
      <c r="O179" s="17" t="n"/>
      <c r="P179" s="16" t="n"/>
      <c r="Q179" s="16" t="n"/>
      <c r="R179" s="16" t="n"/>
      <c r="S179" s="16" t="n"/>
      <c r="T179" s="16" t="n"/>
      <c r="U179" s="16" t="n"/>
      <c r="V179" s="16" t="n"/>
      <c r="W179" s="16" t="n"/>
      <c r="X179" s="16" t="n"/>
      <c r="Y179" s="16" t="n"/>
      <c r="Z179" s="16" t="n"/>
      <c r="AA179" s="16" t="n"/>
      <c r="AB179" s="18" t="n"/>
      <c r="AC179" s="15">
        <f>IF(A179="","",IF(AB179=_xlfn.MAXIFS('Register'!$AB$6:$AB$505,'Register'!$A$6:$A$505,A179),"Y","N"))</f>
        <v/>
      </c>
      <c r="AD179" s="15">
        <f>IF(A179="","",COUNTIF('Register'!$A$6:$A$505,A179))</f>
        <v/>
      </c>
      <c r="AE179" s="17" t="n"/>
      <c r="AF179" s="16" t="n"/>
      <c r="AG179" s="17" t="n"/>
      <c r="AH179" s="17" t="n"/>
      <c r="AI179" s="19">
        <f>IF(AE179="","",AE179+IF(AF179="",TA_NOC,AF179))</f>
        <v/>
      </c>
      <c r="AJ179" s="15">
        <f>IF(AE179="","",IF(AG179="",DATADATE,AG179)-AE179)</f>
        <v/>
      </c>
      <c r="AK179" s="15">
        <f>IF(OR(AI179="",AG179&lt;&gt;""),"",IF(DATADATE&gt;AI179,"OVERDUE",""))</f>
        <v/>
      </c>
      <c r="AL179" s="15">
        <f>IF(AH179="","",IF(AH179&lt;DATADATE,"EXPIRED",IF(AH179-DATADATE&lt;=WARN_EXP,"EXPIRING","")))</f>
        <v/>
      </c>
      <c r="AM179" s="16" t="n"/>
      <c r="AN179" s="16" t="n"/>
      <c r="AO179" s="16" t="n"/>
      <c r="AP179" s="16" t="n"/>
    </row>
    <row r="180">
      <c r="A180" s="15">
        <f>IF(AA180="","",PROJ&amp;"-NOC-"&amp;Z180&amp;"-"&amp;TEXT(AA180,"0000"))</f>
        <v/>
      </c>
      <c r="B180" s="15">
        <f>IF(AA180="","",PROJ)</f>
        <v/>
      </c>
      <c r="C180" s="16" t="n"/>
      <c r="D180" s="16" t="n"/>
      <c r="E180" s="16" t="n"/>
      <c r="F180" s="16" t="n"/>
      <c r="G180" s="16" t="n"/>
      <c r="H180" s="16" t="n"/>
      <c r="I180" s="16" t="n"/>
      <c r="J180" s="16" t="n"/>
      <c r="K180" s="16" t="n"/>
      <c r="L180" s="16" t="n"/>
      <c r="M180" s="16" t="n"/>
      <c r="N180" s="16" t="n"/>
      <c r="O180" s="17" t="n"/>
      <c r="P180" s="16" t="n"/>
      <c r="Q180" s="16" t="n"/>
      <c r="R180" s="16" t="n"/>
      <c r="S180" s="16" t="n"/>
      <c r="T180" s="16" t="n"/>
      <c r="U180" s="16" t="n"/>
      <c r="V180" s="16" t="n"/>
      <c r="W180" s="16" t="n"/>
      <c r="X180" s="16" t="n"/>
      <c r="Y180" s="16" t="n"/>
      <c r="Z180" s="16" t="n"/>
      <c r="AA180" s="16" t="n"/>
      <c r="AB180" s="18" t="n"/>
      <c r="AC180" s="15">
        <f>IF(A180="","",IF(AB180=_xlfn.MAXIFS('Register'!$AB$6:$AB$505,'Register'!$A$6:$A$505,A180),"Y","N"))</f>
        <v/>
      </c>
      <c r="AD180" s="15">
        <f>IF(A180="","",COUNTIF('Register'!$A$6:$A$505,A180))</f>
        <v/>
      </c>
      <c r="AE180" s="17" t="n"/>
      <c r="AF180" s="16" t="n"/>
      <c r="AG180" s="17" t="n"/>
      <c r="AH180" s="17" t="n"/>
      <c r="AI180" s="19">
        <f>IF(AE180="","",AE180+IF(AF180="",TA_NOC,AF180))</f>
        <v/>
      </c>
      <c r="AJ180" s="15">
        <f>IF(AE180="","",IF(AG180="",DATADATE,AG180)-AE180)</f>
        <v/>
      </c>
      <c r="AK180" s="15">
        <f>IF(OR(AI180="",AG180&lt;&gt;""),"",IF(DATADATE&gt;AI180,"OVERDUE",""))</f>
        <v/>
      </c>
      <c r="AL180" s="15">
        <f>IF(AH180="","",IF(AH180&lt;DATADATE,"EXPIRED",IF(AH180-DATADATE&lt;=WARN_EXP,"EXPIRING","")))</f>
        <v/>
      </c>
      <c r="AM180" s="16" t="n"/>
      <c r="AN180" s="16" t="n"/>
      <c r="AO180" s="16" t="n"/>
      <c r="AP180" s="16" t="n"/>
    </row>
    <row r="181">
      <c r="A181" s="15">
        <f>IF(AA181="","",PROJ&amp;"-NOC-"&amp;Z181&amp;"-"&amp;TEXT(AA181,"0000"))</f>
        <v/>
      </c>
      <c r="B181" s="15">
        <f>IF(AA181="","",PROJ)</f>
        <v/>
      </c>
      <c r="C181" s="16" t="n"/>
      <c r="D181" s="16" t="n"/>
      <c r="E181" s="16" t="n"/>
      <c r="F181" s="16" t="n"/>
      <c r="G181" s="16" t="n"/>
      <c r="H181" s="16" t="n"/>
      <c r="I181" s="16" t="n"/>
      <c r="J181" s="16" t="n"/>
      <c r="K181" s="16" t="n"/>
      <c r="L181" s="16" t="n"/>
      <c r="M181" s="16" t="n"/>
      <c r="N181" s="16" t="n"/>
      <c r="O181" s="17" t="n"/>
      <c r="P181" s="16" t="n"/>
      <c r="Q181" s="16" t="n"/>
      <c r="R181" s="16" t="n"/>
      <c r="S181" s="16" t="n"/>
      <c r="T181" s="16" t="n"/>
      <c r="U181" s="16" t="n"/>
      <c r="V181" s="16" t="n"/>
      <c r="W181" s="16" t="n"/>
      <c r="X181" s="16" t="n"/>
      <c r="Y181" s="16" t="n"/>
      <c r="Z181" s="16" t="n"/>
      <c r="AA181" s="16" t="n"/>
      <c r="AB181" s="18" t="n"/>
      <c r="AC181" s="15">
        <f>IF(A181="","",IF(AB181=_xlfn.MAXIFS('Register'!$AB$6:$AB$505,'Register'!$A$6:$A$505,A181),"Y","N"))</f>
        <v/>
      </c>
      <c r="AD181" s="15">
        <f>IF(A181="","",COUNTIF('Register'!$A$6:$A$505,A181))</f>
        <v/>
      </c>
      <c r="AE181" s="17" t="n"/>
      <c r="AF181" s="16" t="n"/>
      <c r="AG181" s="17" t="n"/>
      <c r="AH181" s="17" t="n"/>
      <c r="AI181" s="19">
        <f>IF(AE181="","",AE181+IF(AF181="",TA_NOC,AF181))</f>
        <v/>
      </c>
      <c r="AJ181" s="15">
        <f>IF(AE181="","",IF(AG181="",DATADATE,AG181)-AE181)</f>
        <v/>
      </c>
      <c r="AK181" s="15">
        <f>IF(OR(AI181="",AG181&lt;&gt;""),"",IF(DATADATE&gt;AI181,"OVERDUE",""))</f>
        <v/>
      </c>
      <c r="AL181" s="15">
        <f>IF(AH181="","",IF(AH181&lt;DATADATE,"EXPIRED",IF(AH181-DATADATE&lt;=WARN_EXP,"EXPIRING","")))</f>
        <v/>
      </c>
      <c r="AM181" s="16" t="n"/>
      <c r="AN181" s="16" t="n"/>
      <c r="AO181" s="16" t="n"/>
      <c r="AP181" s="16" t="n"/>
    </row>
    <row r="182">
      <c r="A182" s="15">
        <f>IF(AA182="","",PROJ&amp;"-NOC-"&amp;Z182&amp;"-"&amp;TEXT(AA182,"0000"))</f>
        <v/>
      </c>
      <c r="B182" s="15">
        <f>IF(AA182="","",PROJ)</f>
        <v/>
      </c>
      <c r="C182" s="16" t="n"/>
      <c r="D182" s="16" t="n"/>
      <c r="E182" s="16" t="n"/>
      <c r="F182" s="16" t="n"/>
      <c r="G182" s="16" t="n"/>
      <c r="H182" s="16" t="n"/>
      <c r="I182" s="16" t="n"/>
      <c r="J182" s="16" t="n"/>
      <c r="K182" s="16" t="n"/>
      <c r="L182" s="16" t="n"/>
      <c r="M182" s="16" t="n"/>
      <c r="N182" s="16" t="n"/>
      <c r="O182" s="17" t="n"/>
      <c r="P182" s="16" t="n"/>
      <c r="Q182" s="16" t="n"/>
      <c r="R182" s="16" t="n"/>
      <c r="S182" s="16" t="n"/>
      <c r="T182" s="16" t="n"/>
      <c r="U182" s="16" t="n"/>
      <c r="V182" s="16" t="n"/>
      <c r="W182" s="16" t="n"/>
      <c r="X182" s="16" t="n"/>
      <c r="Y182" s="16" t="n"/>
      <c r="Z182" s="16" t="n"/>
      <c r="AA182" s="16" t="n"/>
      <c r="AB182" s="18" t="n"/>
      <c r="AC182" s="15">
        <f>IF(A182="","",IF(AB182=_xlfn.MAXIFS('Register'!$AB$6:$AB$505,'Register'!$A$6:$A$505,A182),"Y","N"))</f>
        <v/>
      </c>
      <c r="AD182" s="15">
        <f>IF(A182="","",COUNTIF('Register'!$A$6:$A$505,A182))</f>
        <v/>
      </c>
      <c r="AE182" s="17" t="n"/>
      <c r="AF182" s="16" t="n"/>
      <c r="AG182" s="17" t="n"/>
      <c r="AH182" s="17" t="n"/>
      <c r="AI182" s="19">
        <f>IF(AE182="","",AE182+IF(AF182="",TA_NOC,AF182))</f>
        <v/>
      </c>
      <c r="AJ182" s="15">
        <f>IF(AE182="","",IF(AG182="",DATADATE,AG182)-AE182)</f>
        <v/>
      </c>
      <c r="AK182" s="15">
        <f>IF(OR(AI182="",AG182&lt;&gt;""),"",IF(DATADATE&gt;AI182,"OVERDUE",""))</f>
        <v/>
      </c>
      <c r="AL182" s="15">
        <f>IF(AH182="","",IF(AH182&lt;DATADATE,"EXPIRED",IF(AH182-DATADATE&lt;=WARN_EXP,"EXPIRING","")))</f>
        <v/>
      </c>
      <c r="AM182" s="16" t="n"/>
      <c r="AN182" s="16" t="n"/>
      <c r="AO182" s="16" t="n"/>
      <c r="AP182" s="16" t="n"/>
    </row>
    <row r="183">
      <c r="A183" s="15">
        <f>IF(AA183="","",PROJ&amp;"-NOC-"&amp;Z183&amp;"-"&amp;TEXT(AA183,"0000"))</f>
        <v/>
      </c>
      <c r="B183" s="15">
        <f>IF(AA183="","",PROJ)</f>
        <v/>
      </c>
      <c r="C183" s="16" t="n"/>
      <c r="D183" s="16" t="n"/>
      <c r="E183" s="16" t="n"/>
      <c r="F183" s="16" t="n"/>
      <c r="G183" s="16" t="n"/>
      <c r="H183" s="16" t="n"/>
      <c r="I183" s="16" t="n"/>
      <c r="J183" s="16" t="n"/>
      <c r="K183" s="16" t="n"/>
      <c r="L183" s="16" t="n"/>
      <c r="M183" s="16" t="n"/>
      <c r="N183" s="16" t="n"/>
      <c r="O183" s="17" t="n"/>
      <c r="P183" s="16" t="n"/>
      <c r="Q183" s="16" t="n"/>
      <c r="R183" s="16" t="n"/>
      <c r="S183" s="16" t="n"/>
      <c r="T183" s="16" t="n"/>
      <c r="U183" s="16" t="n"/>
      <c r="V183" s="16" t="n"/>
      <c r="W183" s="16" t="n"/>
      <c r="X183" s="16" t="n"/>
      <c r="Y183" s="16" t="n"/>
      <c r="Z183" s="16" t="n"/>
      <c r="AA183" s="16" t="n"/>
      <c r="AB183" s="18" t="n"/>
      <c r="AC183" s="15">
        <f>IF(A183="","",IF(AB183=_xlfn.MAXIFS('Register'!$AB$6:$AB$505,'Register'!$A$6:$A$505,A183),"Y","N"))</f>
        <v/>
      </c>
      <c r="AD183" s="15">
        <f>IF(A183="","",COUNTIF('Register'!$A$6:$A$505,A183))</f>
        <v/>
      </c>
      <c r="AE183" s="17" t="n"/>
      <c r="AF183" s="16" t="n"/>
      <c r="AG183" s="17" t="n"/>
      <c r="AH183" s="17" t="n"/>
      <c r="AI183" s="19">
        <f>IF(AE183="","",AE183+IF(AF183="",TA_NOC,AF183))</f>
        <v/>
      </c>
      <c r="AJ183" s="15">
        <f>IF(AE183="","",IF(AG183="",DATADATE,AG183)-AE183)</f>
        <v/>
      </c>
      <c r="AK183" s="15">
        <f>IF(OR(AI183="",AG183&lt;&gt;""),"",IF(DATADATE&gt;AI183,"OVERDUE",""))</f>
        <v/>
      </c>
      <c r="AL183" s="15">
        <f>IF(AH183="","",IF(AH183&lt;DATADATE,"EXPIRED",IF(AH183-DATADATE&lt;=WARN_EXP,"EXPIRING","")))</f>
        <v/>
      </c>
      <c r="AM183" s="16" t="n"/>
      <c r="AN183" s="16" t="n"/>
      <c r="AO183" s="16" t="n"/>
      <c r="AP183" s="16" t="n"/>
    </row>
    <row r="184">
      <c r="A184" s="15">
        <f>IF(AA184="","",PROJ&amp;"-NOC-"&amp;Z184&amp;"-"&amp;TEXT(AA184,"0000"))</f>
        <v/>
      </c>
      <c r="B184" s="15">
        <f>IF(AA184="","",PROJ)</f>
        <v/>
      </c>
      <c r="C184" s="16" t="n"/>
      <c r="D184" s="16" t="n"/>
      <c r="E184" s="16" t="n"/>
      <c r="F184" s="16" t="n"/>
      <c r="G184" s="16" t="n"/>
      <c r="H184" s="16" t="n"/>
      <c r="I184" s="16" t="n"/>
      <c r="J184" s="16" t="n"/>
      <c r="K184" s="16" t="n"/>
      <c r="L184" s="16" t="n"/>
      <c r="M184" s="16" t="n"/>
      <c r="N184" s="16" t="n"/>
      <c r="O184" s="17" t="n"/>
      <c r="P184" s="16" t="n"/>
      <c r="Q184" s="16" t="n"/>
      <c r="R184" s="16" t="n"/>
      <c r="S184" s="16" t="n"/>
      <c r="T184" s="16" t="n"/>
      <c r="U184" s="16" t="n"/>
      <c r="V184" s="16" t="n"/>
      <c r="W184" s="16" t="n"/>
      <c r="X184" s="16" t="n"/>
      <c r="Y184" s="16" t="n"/>
      <c r="Z184" s="16" t="n"/>
      <c r="AA184" s="16" t="n"/>
      <c r="AB184" s="18" t="n"/>
      <c r="AC184" s="15">
        <f>IF(A184="","",IF(AB184=_xlfn.MAXIFS('Register'!$AB$6:$AB$505,'Register'!$A$6:$A$505,A184),"Y","N"))</f>
        <v/>
      </c>
      <c r="AD184" s="15">
        <f>IF(A184="","",COUNTIF('Register'!$A$6:$A$505,A184))</f>
        <v/>
      </c>
      <c r="AE184" s="17" t="n"/>
      <c r="AF184" s="16" t="n"/>
      <c r="AG184" s="17" t="n"/>
      <c r="AH184" s="17" t="n"/>
      <c r="AI184" s="19">
        <f>IF(AE184="","",AE184+IF(AF184="",TA_NOC,AF184))</f>
        <v/>
      </c>
      <c r="AJ184" s="15">
        <f>IF(AE184="","",IF(AG184="",DATADATE,AG184)-AE184)</f>
        <v/>
      </c>
      <c r="AK184" s="15">
        <f>IF(OR(AI184="",AG184&lt;&gt;""),"",IF(DATADATE&gt;AI184,"OVERDUE",""))</f>
        <v/>
      </c>
      <c r="AL184" s="15">
        <f>IF(AH184="","",IF(AH184&lt;DATADATE,"EXPIRED",IF(AH184-DATADATE&lt;=WARN_EXP,"EXPIRING","")))</f>
        <v/>
      </c>
      <c r="AM184" s="16" t="n"/>
      <c r="AN184" s="16" t="n"/>
      <c r="AO184" s="16" t="n"/>
      <c r="AP184" s="16" t="n"/>
    </row>
    <row r="185">
      <c r="A185" s="15">
        <f>IF(AA185="","",PROJ&amp;"-NOC-"&amp;Z185&amp;"-"&amp;TEXT(AA185,"0000"))</f>
        <v/>
      </c>
      <c r="B185" s="15">
        <f>IF(AA185="","",PROJ)</f>
        <v/>
      </c>
      <c r="C185" s="16" t="n"/>
      <c r="D185" s="16" t="n"/>
      <c r="E185" s="16" t="n"/>
      <c r="F185" s="16" t="n"/>
      <c r="G185" s="16" t="n"/>
      <c r="H185" s="16" t="n"/>
      <c r="I185" s="16" t="n"/>
      <c r="J185" s="16" t="n"/>
      <c r="K185" s="16" t="n"/>
      <c r="L185" s="16" t="n"/>
      <c r="M185" s="16" t="n"/>
      <c r="N185" s="16" t="n"/>
      <c r="O185" s="17" t="n"/>
      <c r="P185" s="16" t="n"/>
      <c r="Q185" s="16" t="n"/>
      <c r="R185" s="16" t="n"/>
      <c r="S185" s="16" t="n"/>
      <c r="T185" s="16" t="n"/>
      <c r="U185" s="16" t="n"/>
      <c r="V185" s="16" t="n"/>
      <c r="W185" s="16" t="n"/>
      <c r="X185" s="16" t="n"/>
      <c r="Y185" s="16" t="n"/>
      <c r="Z185" s="16" t="n"/>
      <c r="AA185" s="16" t="n"/>
      <c r="AB185" s="18" t="n"/>
      <c r="AC185" s="15">
        <f>IF(A185="","",IF(AB185=_xlfn.MAXIFS('Register'!$AB$6:$AB$505,'Register'!$A$6:$A$505,A185),"Y","N"))</f>
        <v/>
      </c>
      <c r="AD185" s="15">
        <f>IF(A185="","",COUNTIF('Register'!$A$6:$A$505,A185))</f>
        <v/>
      </c>
      <c r="AE185" s="17" t="n"/>
      <c r="AF185" s="16" t="n"/>
      <c r="AG185" s="17" t="n"/>
      <c r="AH185" s="17" t="n"/>
      <c r="AI185" s="19">
        <f>IF(AE185="","",AE185+IF(AF185="",TA_NOC,AF185))</f>
        <v/>
      </c>
      <c r="AJ185" s="15">
        <f>IF(AE185="","",IF(AG185="",DATADATE,AG185)-AE185)</f>
        <v/>
      </c>
      <c r="AK185" s="15">
        <f>IF(OR(AI185="",AG185&lt;&gt;""),"",IF(DATADATE&gt;AI185,"OVERDUE",""))</f>
        <v/>
      </c>
      <c r="AL185" s="15">
        <f>IF(AH185="","",IF(AH185&lt;DATADATE,"EXPIRED",IF(AH185-DATADATE&lt;=WARN_EXP,"EXPIRING","")))</f>
        <v/>
      </c>
      <c r="AM185" s="16" t="n"/>
      <c r="AN185" s="16" t="n"/>
      <c r="AO185" s="16" t="n"/>
      <c r="AP185" s="16" t="n"/>
    </row>
    <row r="186">
      <c r="A186" s="15">
        <f>IF(AA186="","",PROJ&amp;"-NOC-"&amp;Z186&amp;"-"&amp;TEXT(AA186,"0000"))</f>
        <v/>
      </c>
      <c r="B186" s="15">
        <f>IF(AA186="","",PROJ)</f>
        <v/>
      </c>
      <c r="C186" s="16" t="n"/>
      <c r="D186" s="16" t="n"/>
      <c r="E186" s="16" t="n"/>
      <c r="F186" s="16" t="n"/>
      <c r="G186" s="16" t="n"/>
      <c r="H186" s="16" t="n"/>
      <c r="I186" s="16" t="n"/>
      <c r="J186" s="16" t="n"/>
      <c r="K186" s="16" t="n"/>
      <c r="L186" s="16" t="n"/>
      <c r="M186" s="16" t="n"/>
      <c r="N186" s="16" t="n"/>
      <c r="O186" s="17" t="n"/>
      <c r="P186" s="16" t="n"/>
      <c r="Q186" s="16" t="n"/>
      <c r="R186" s="16" t="n"/>
      <c r="S186" s="16" t="n"/>
      <c r="T186" s="16" t="n"/>
      <c r="U186" s="16" t="n"/>
      <c r="V186" s="16" t="n"/>
      <c r="W186" s="16" t="n"/>
      <c r="X186" s="16" t="n"/>
      <c r="Y186" s="16" t="n"/>
      <c r="Z186" s="16" t="n"/>
      <c r="AA186" s="16" t="n"/>
      <c r="AB186" s="18" t="n"/>
      <c r="AC186" s="15">
        <f>IF(A186="","",IF(AB186=_xlfn.MAXIFS('Register'!$AB$6:$AB$505,'Register'!$A$6:$A$505,A186),"Y","N"))</f>
        <v/>
      </c>
      <c r="AD186" s="15">
        <f>IF(A186="","",COUNTIF('Register'!$A$6:$A$505,A186))</f>
        <v/>
      </c>
      <c r="AE186" s="17" t="n"/>
      <c r="AF186" s="16" t="n"/>
      <c r="AG186" s="17" t="n"/>
      <c r="AH186" s="17" t="n"/>
      <c r="AI186" s="19">
        <f>IF(AE186="","",AE186+IF(AF186="",TA_NOC,AF186))</f>
        <v/>
      </c>
      <c r="AJ186" s="15">
        <f>IF(AE186="","",IF(AG186="",DATADATE,AG186)-AE186)</f>
        <v/>
      </c>
      <c r="AK186" s="15">
        <f>IF(OR(AI186="",AG186&lt;&gt;""),"",IF(DATADATE&gt;AI186,"OVERDUE",""))</f>
        <v/>
      </c>
      <c r="AL186" s="15">
        <f>IF(AH186="","",IF(AH186&lt;DATADATE,"EXPIRED",IF(AH186-DATADATE&lt;=WARN_EXP,"EXPIRING","")))</f>
        <v/>
      </c>
      <c r="AM186" s="16" t="n"/>
      <c r="AN186" s="16" t="n"/>
      <c r="AO186" s="16" t="n"/>
      <c r="AP186" s="16" t="n"/>
    </row>
    <row r="187">
      <c r="A187" s="15">
        <f>IF(AA187="","",PROJ&amp;"-NOC-"&amp;Z187&amp;"-"&amp;TEXT(AA187,"0000"))</f>
        <v/>
      </c>
      <c r="B187" s="15">
        <f>IF(AA187="","",PROJ)</f>
        <v/>
      </c>
      <c r="C187" s="16" t="n"/>
      <c r="D187" s="16" t="n"/>
      <c r="E187" s="16" t="n"/>
      <c r="F187" s="16" t="n"/>
      <c r="G187" s="16" t="n"/>
      <c r="H187" s="16" t="n"/>
      <c r="I187" s="16" t="n"/>
      <c r="J187" s="16" t="n"/>
      <c r="K187" s="16" t="n"/>
      <c r="L187" s="16" t="n"/>
      <c r="M187" s="16" t="n"/>
      <c r="N187" s="16" t="n"/>
      <c r="O187" s="17" t="n"/>
      <c r="P187" s="16" t="n"/>
      <c r="Q187" s="16" t="n"/>
      <c r="R187" s="16" t="n"/>
      <c r="S187" s="16" t="n"/>
      <c r="T187" s="16" t="n"/>
      <c r="U187" s="16" t="n"/>
      <c r="V187" s="16" t="n"/>
      <c r="W187" s="16" t="n"/>
      <c r="X187" s="16" t="n"/>
      <c r="Y187" s="16" t="n"/>
      <c r="Z187" s="16" t="n"/>
      <c r="AA187" s="16" t="n"/>
      <c r="AB187" s="18" t="n"/>
      <c r="AC187" s="15">
        <f>IF(A187="","",IF(AB187=_xlfn.MAXIFS('Register'!$AB$6:$AB$505,'Register'!$A$6:$A$505,A187),"Y","N"))</f>
        <v/>
      </c>
      <c r="AD187" s="15">
        <f>IF(A187="","",COUNTIF('Register'!$A$6:$A$505,A187))</f>
        <v/>
      </c>
      <c r="AE187" s="17" t="n"/>
      <c r="AF187" s="16" t="n"/>
      <c r="AG187" s="17" t="n"/>
      <c r="AH187" s="17" t="n"/>
      <c r="AI187" s="19">
        <f>IF(AE187="","",AE187+IF(AF187="",TA_NOC,AF187))</f>
        <v/>
      </c>
      <c r="AJ187" s="15">
        <f>IF(AE187="","",IF(AG187="",DATADATE,AG187)-AE187)</f>
        <v/>
      </c>
      <c r="AK187" s="15">
        <f>IF(OR(AI187="",AG187&lt;&gt;""),"",IF(DATADATE&gt;AI187,"OVERDUE",""))</f>
        <v/>
      </c>
      <c r="AL187" s="15">
        <f>IF(AH187="","",IF(AH187&lt;DATADATE,"EXPIRED",IF(AH187-DATADATE&lt;=WARN_EXP,"EXPIRING","")))</f>
        <v/>
      </c>
      <c r="AM187" s="16" t="n"/>
      <c r="AN187" s="16" t="n"/>
      <c r="AO187" s="16" t="n"/>
      <c r="AP187" s="16" t="n"/>
    </row>
    <row r="188">
      <c r="A188" s="15">
        <f>IF(AA188="","",PROJ&amp;"-NOC-"&amp;Z188&amp;"-"&amp;TEXT(AA188,"0000"))</f>
        <v/>
      </c>
      <c r="B188" s="15">
        <f>IF(AA188="","",PROJ)</f>
        <v/>
      </c>
      <c r="C188" s="16" t="n"/>
      <c r="D188" s="16" t="n"/>
      <c r="E188" s="16" t="n"/>
      <c r="F188" s="16" t="n"/>
      <c r="G188" s="16" t="n"/>
      <c r="H188" s="16" t="n"/>
      <c r="I188" s="16" t="n"/>
      <c r="J188" s="16" t="n"/>
      <c r="K188" s="16" t="n"/>
      <c r="L188" s="16" t="n"/>
      <c r="M188" s="16" t="n"/>
      <c r="N188" s="16" t="n"/>
      <c r="O188" s="17" t="n"/>
      <c r="P188" s="16" t="n"/>
      <c r="Q188" s="16" t="n"/>
      <c r="R188" s="16" t="n"/>
      <c r="S188" s="16" t="n"/>
      <c r="T188" s="16" t="n"/>
      <c r="U188" s="16" t="n"/>
      <c r="V188" s="16" t="n"/>
      <c r="W188" s="16" t="n"/>
      <c r="X188" s="16" t="n"/>
      <c r="Y188" s="16" t="n"/>
      <c r="Z188" s="16" t="n"/>
      <c r="AA188" s="16" t="n"/>
      <c r="AB188" s="18" t="n"/>
      <c r="AC188" s="15">
        <f>IF(A188="","",IF(AB188=_xlfn.MAXIFS('Register'!$AB$6:$AB$505,'Register'!$A$6:$A$505,A188),"Y","N"))</f>
        <v/>
      </c>
      <c r="AD188" s="15">
        <f>IF(A188="","",COUNTIF('Register'!$A$6:$A$505,A188))</f>
        <v/>
      </c>
      <c r="AE188" s="17" t="n"/>
      <c r="AF188" s="16" t="n"/>
      <c r="AG188" s="17" t="n"/>
      <c r="AH188" s="17" t="n"/>
      <c r="AI188" s="19">
        <f>IF(AE188="","",AE188+IF(AF188="",TA_NOC,AF188))</f>
        <v/>
      </c>
      <c r="AJ188" s="15">
        <f>IF(AE188="","",IF(AG188="",DATADATE,AG188)-AE188)</f>
        <v/>
      </c>
      <c r="AK188" s="15">
        <f>IF(OR(AI188="",AG188&lt;&gt;""),"",IF(DATADATE&gt;AI188,"OVERDUE",""))</f>
        <v/>
      </c>
      <c r="AL188" s="15">
        <f>IF(AH188="","",IF(AH188&lt;DATADATE,"EXPIRED",IF(AH188-DATADATE&lt;=WARN_EXP,"EXPIRING","")))</f>
        <v/>
      </c>
      <c r="AM188" s="16" t="n"/>
      <c r="AN188" s="16" t="n"/>
      <c r="AO188" s="16" t="n"/>
      <c r="AP188" s="16" t="n"/>
    </row>
    <row r="189">
      <c r="A189" s="15">
        <f>IF(AA189="","",PROJ&amp;"-NOC-"&amp;Z189&amp;"-"&amp;TEXT(AA189,"0000"))</f>
        <v/>
      </c>
      <c r="B189" s="15">
        <f>IF(AA189="","",PROJ)</f>
        <v/>
      </c>
      <c r="C189" s="16" t="n"/>
      <c r="D189" s="16" t="n"/>
      <c r="E189" s="16" t="n"/>
      <c r="F189" s="16" t="n"/>
      <c r="G189" s="16" t="n"/>
      <c r="H189" s="16" t="n"/>
      <c r="I189" s="16" t="n"/>
      <c r="J189" s="16" t="n"/>
      <c r="K189" s="16" t="n"/>
      <c r="L189" s="16" t="n"/>
      <c r="M189" s="16" t="n"/>
      <c r="N189" s="16" t="n"/>
      <c r="O189" s="17" t="n"/>
      <c r="P189" s="16" t="n"/>
      <c r="Q189" s="16" t="n"/>
      <c r="R189" s="16" t="n"/>
      <c r="S189" s="16" t="n"/>
      <c r="T189" s="16" t="n"/>
      <c r="U189" s="16" t="n"/>
      <c r="V189" s="16" t="n"/>
      <c r="W189" s="16" t="n"/>
      <c r="X189" s="16" t="n"/>
      <c r="Y189" s="16" t="n"/>
      <c r="Z189" s="16" t="n"/>
      <c r="AA189" s="16" t="n"/>
      <c r="AB189" s="18" t="n"/>
      <c r="AC189" s="15">
        <f>IF(A189="","",IF(AB189=_xlfn.MAXIFS('Register'!$AB$6:$AB$505,'Register'!$A$6:$A$505,A189),"Y","N"))</f>
        <v/>
      </c>
      <c r="AD189" s="15">
        <f>IF(A189="","",COUNTIF('Register'!$A$6:$A$505,A189))</f>
        <v/>
      </c>
      <c r="AE189" s="17" t="n"/>
      <c r="AF189" s="16" t="n"/>
      <c r="AG189" s="17" t="n"/>
      <c r="AH189" s="17" t="n"/>
      <c r="AI189" s="19">
        <f>IF(AE189="","",AE189+IF(AF189="",TA_NOC,AF189))</f>
        <v/>
      </c>
      <c r="AJ189" s="15">
        <f>IF(AE189="","",IF(AG189="",DATADATE,AG189)-AE189)</f>
        <v/>
      </c>
      <c r="AK189" s="15">
        <f>IF(OR(AI189="",AG189&lt;&gt;""),"",IF(DATADATE&gt;AI189,"OVERDUE",""))</f>
        <v/>
      </c>
      <c r="AL189" s="15">
        <f>IF(AH189="","",IF(AH189&lt;DATADATE,"EXPIRED",IF(AH189-DATADATE&lt;=WARN_EXP,"EXPIRING","")))</f>
        <v/>
      </c>
      <c r="AM189" s="16" t="n"/>
      <c r="AN189" s="16" t="n"/>
      <c r="AO189" s="16" t="n"/>
      <c r="AP189" s="16" t="n"/>
    </row>
    <row r="190">
      <c r="A190" s="15">
        <f>IF(AA190="","",PROJ&amp;"-NOC-"&amp;Z190&amp;"-"&amp;TEXT(AA190,"0000"))</f>
        <v/>
      </c>
      <c r="B190" s="15">
        <f>IF(AA190="","",PROJ)</f>
        <v/>
      </c>
      <c r="C190" s="16" t="n"/>
      <c r="D190" s="16" t="n"/>
      <c r="E190" s="16" t="n"/>
      <c r="F190" s="16" t="n"/>
      <c r="G190" s="16" t="n"/>
      <c r="H190" s="16" t="n"/>
      <c r="I190" s="16" t="n"/>
      <c r="J190" s="16" t="n"/>
      <c r="K190" s="16" t="n"/>
      <c r="L190" s="16" t="n"/>
      <c r="M190" s="16" t="n"/>
      <c r="N190" s="16" t="n"/>
      <c r="O190" s="17" t="n"/>
      <c r="P190" s="16" t="n"/>
      <c r="Q190" s="16" t="n"/>
      <c r="R190" s="16" t="n"/>
      <c r="S190" s="16" t="n"/>
      <c r="T190" s="16" t="n"/>
      <c r="U190" s="16" t="n"/>
      <c r="V190" s="16" t="n"/>
      <c r="W190" s="16" t="n"/>
      <c r="X190" s="16" t="n"/>
      <c r="Y190" s="16" t="n"/>
      <c r="Z190" s="16" t="n"/>
      <c r="AA190" s="16" t="n"/>
      <c r="AB190" s="18" t="n"/>
      <c r="AC190" s="15">
        <f>IF(A190="","",IF(AB190=_xlfn.MAXIFS('Register'!$AB$6:$AB$505,'Register'!$A$6:$A$505,A190),"Y","N"))</f>
        <v/>
      </c>
      <c r="AD190" s="15">
        <f>IF(A190="","",COUNTIF('Register'!$A$6:$A$505,A190))</f>
        <v/>
      </c>
      <c r="AE190" s="17" t="n"/>
      <c r="AF190" s="16" t="n"/>
      <c r="AG190" s="17" t="n"/>
      <c r="AH190" s="17" t="n"/>
      <c r="AI190" s="19">
        <f>IF(AE190="","",AE190+IF(AF190="",TA_NOC,AF190))</f>
        <v/>
      </c>
      <c r="AJ190" s="15">
        <f>IF(AE190="","",IF(AG190="",DATADATE,AG190)-AE190)</f>
        <v/>
      </c>
      <c r="AK190" s="15">
        <f>IF(OR(AI190="",AG190&lt;&gt;""),"",IF(DATADATE&gt;AI190,"OVERDUE",""))</f>
        <v/>
      </c>
      <c r="AL190" s="15">
        <f>IF(AH190="","",IF(AH190&lt;DATADATE,"EXPIRED",IF(AH190-DATADATE&lt;=WARN_EXP,"EXPIRING","")))</f>
        <v/>
      </c>
      <c r="AM190" s="16" t="n"/>
      <c r="AN190" s="16" t="n"/>
      <c r="AO190" s="16" t="n"/>
      <c r="AP190" s="16" t="n"/>
    </row>
    <row r="191">
      <c r="A191" s="15">
        <f>IF(AA191="","",PROJ&amp;"-NOC-"&amp;Z191&amp;"-"&amp;TEXT(AA191,"0000"))</f>
        <v/>
      </c>
      <c r="B191" s="15">
        <f>IF(AA191="","",PROJ)</f>
        <v/>
      </c>
      <c r="C191" s="16" t="n"/>
      <c r="D191" s="16" t="n"/>
      <c r="E191" s="16" t="n"/>
      <c r="F191" s="16" t="n"/>
      <c r="G191" s="16" t="n"/>
      <c r="H191" s="16" t="n"/>
      <c r="I191" s="16" t="n"/>
      <c r="J191" s="16" t="n"/>
      <c r="K191" s="16" t="n"/>
      <c r="L191" s="16" t="n"/>
      <c r="M191" s="16" t="n"/>
      <c r="N191" s="16" t="n"/>
      <c r="O191" s="17" t="n"/>
      <c r="P191" s="16" t="n"/>
      <c r="Q191" s="16" t="n"/>
      <c r="R191" s="16" t="n"/>
      <c r="S191" s="16" t="n"/>
      <c r="T191" s="16" t="n"/>
      <c r="U191" s="16" t="n"/>
      <c r="V191" s="16" t="n"/>
      <c r="W191" s="16" t="n"/>
      <c r="X191" s="16" t="n"/>
      <c r="Y191" s="16" t="n"/>
      <c r="Z191" s="16" t="n"/>
      <c r="AA191" s="16" t="n"/>
      <c r="AB191" s="18" t="n"/>
      <c r="AC191" s="15">
        <f>IF(A191="","",IF(AB191=_xlfn.MAXIFS('Register'!$AB$6:$AB$505,'Register'!$A$6:$A$505,A191),"Y","N"))</f>
        <v/>
      </c>
      <c r="AD191" s="15">
        <f>IF(A191="","",COUNTIF('Register'!$A$6:$A$505,A191))</f>
        <v/>
      </c>
      <c r="AE191" s="17" t="n"/>
      <c r="AF191" s="16" t="n"/>
      <c r="AG191" s="17" t="n"/>
      <c r="AH191" s="17" t="n"/>
      <c r="AI191" s="19">
        <f>IF(AE191="","",AE191+IF(AF191="",TA_NOC,AF191))</f>
        <v/>
      </c>
      <c r="AJ191" s="15">
        <f>IF(AE191="","",IF(AG191="",DATADATE,AG191)-AE191)</f>
        <v/>
      </c>
      <c r="AK191" s="15">
        <f>IF(OR(AI191="",AG191&lt;&gt;""),"",IF(DATADATE&gt;AI191,"OVERDUE",""))</f>
        <v/>
      </c>
      <c r="AL191" s="15">
        <f>IF(AH191="","",IF(AH191&lt;DATADATE,"EXPIRED",IF(AH191-DATADATE&lt;=WARN_EXP,"EXPIRING","")))</f>
        <v/>
      </c>
      <c r="AM191" s="16" t="n"/>
      <c r="AN191" s="16" t="n"/>
      <c r="AO191" s="16" t="n"/>
      <c r="AP191" s="16" t="n"/>
    </row>
    <row r="192">
      <c r="A192" s="15">
        <f>IF(AA192="","",PROJ&amp;"-NOC-"&amp;Z192&amp;"-"&amp;TEXT(AA192,"0000"))</f>
        <v/>
      </c>
      <c r="B192" s="15">
        <f>IF(AA192="","",PROJ)</f>
        <v/>
      </c>
      <c r="C192" s="16" t="n"/>
      <c r="D192" s="16" t="n"/>
      <c r="E192" s="16" t="n"/>
      <c r="F192" s="16" t="n"/>
      <c r="G192" s="16" t="n"/>
      <c r="H192" s="16" t="n"/>
      <c r="I192" s="16" t="n"/>
      <c r="J192" s="16" t="n"/>
      <c r="K192" s="16" t="n"/>
      <c r="L192" s="16" t="n"/>
      <c r="M192" s="16" t="n"/>
      <c r="N192" s="16" t="n"/>
      <c r="O192" s="17" t="n"/>
      <c r="P192" s="16" t="n"/>
      <c r="Q192" s="16" t="n"/>
      <c r="R192" s="16" t="n"/>
      <c r="S192" s="16" t="n"/>
      <c r="T192" s="16" t="n"/>
      <c r="U192" s="16" t="n"/>
      <c r="V192" s="16" t="n"/>
      <c r="W192" s="16" t="n"/>
      <c r="X192" s="16" t="n"/>
      <c r="Y192" s="16" t="n"/>
      <c r="Z192" s="16" t="n"/>
      <c r="AA192" s="16" t="n"/>
      <c r="AB192" s="18" t="n"/>
      <c r="AC192" s="15">
        <f>IF(A192="","",IF(AB192=_xlfn.MAXIFS('Register'!$AB$6:$AB$505,'Register'!$A$6:$A$505,A192),"Y","N"))</f>
        <v/>
      </c>
      <c r="AD192" s="15">
        <f>IF(A192="","",COUNTIF('Register'!$A$6:$A$505,A192))</f>
        <v/>
      </c>
      <c r="AE192" s="17" t="n"/>
      <c r="AF192" s="16" t="n"/>
      <c r="AG192" s="17" t="n"/>
      <c r="AH192" s="17" t="n"/>
      <c r="AI192" s="19">
        <f>IF(AE192="","",AE192+IF(AF192="",TA_NOC,AF192))</f>
        <v/>
      </c>
      <c r="AJ192" s="15">
        <f>IF(AE192="","",IF(AG192="",DATADATE,AG192)-AE192)</f>
        <v/>
      </c>
      <c r="AK192" s="15">
        <f>IF(OR(AI192="",AG192&lt;&gt;""),"",IF(DATADATE&gt;AI192,"OVERDUE",""))</f>
        <v/>
      </c>
      <c r="AL192" s="15">
        <f>IF(AH192="","",IF(AH192&lt;DATADATE,"EXPIRED",IF(AH192-DATADATE&lt;=WARN_EXP,"EXPIRING","")))</f>
        <v/>
      </c>
      <c r="AM192" s="16" t="n"/>
      <c r="AN192" s="16" t="n"/>
      <c r="AO192" s="16" t="n"/>
      <c r="AP192" s="16" t="n"/>
    </row>
    <row r="193">
      <c r="A193" s="15">
        <f>IF(AA193="","",PROJ&amp;"-NOC-"&amp;Z193&amp;"-"&amp;TEXT(AA193,"0000"))</f>
        <v/>
      </c>
      <c r="B193" s="15">
        <f>IF(AA193="","",PROJ)</f>
        <v/>
      </c>
      <c r="C193" s="16" t="n"/>
      <c r="D193" s="16" t="n"/>
      <c r="E193" s="16" t="n"/>
      <c r="F193" s="16" t="n"/>
      <c r="G193" s="16" t="n"/>
      <c r="H193" s="16" t="n"/>
      <c r="I193" s="16" t="n"/>
      <c r="J193" s="16" t="n"/>
      <c r="K193" s="16" t="n"/>
      <c r="L193" s="16" t="n"/>
      <c r="M193" s="16" t="n"/>
      <c r="N193" s="16" t="n"/>
      <c r="O193" s="17" t="n"/>
      <c r="P193" s="16" t="n"/>
      <c r="Q193" s="16" t="n"/>
      <c r="R193" s="16" t="n"/>
      <c r="S193" s="16" t="n"/>
      <c r="T193" s="16" t="n"/>
      <c r="U193" s="16" t="n"/>
      <c r="V193" s="16" t="n"/>
      <c r="W193" s="16" t="n"/>
      <c r="X193" s="16" t="n"/>
      <c r="Y193" s="16" t="n"/>
      <c r="Z193" s="16" t="n"/>
      <c r="AA193" s="16" t="n"/>
      <c r="AB193" s="18" t="n"/>
      <c r="AC193" s="15">
        <f>IF(A193="","",IF(AB193=_xlfn.MAXIFS('Register'!$AB$6:$AB$505,'Register'!$A$6:$A$505,A193),"Y","N"))</f>
        <v/>
      </c>
      <c r="AD193" s="15">
        <f>IF(A193="","",COUNTIF('Register'!$A$6:$A$505,A193))</f>
        <v/>
      </c>
      <c r="AE193" s="17" t="n"/>
      <c r="AF193" s="16" t="n"/>
      <c r="AG193" s="17" t="n"/>
      <c r="AH193" s="17" t="n"/>
      <c r="AI193" s="19">
        <f>IF(AE193="","",AE193+IF(AF193="",TA_NOC,AF193))</f>
        <v/>
      </c>
      <c r="AJ193" s="15">
        <f>IF(AE193="","",IF(AG193="",DATADATE,AG193)-AE193)</f>
        <v/>
      </c>
      <c r="AK193" s="15">
        <f>IF(OR(AI193="",AG193&lt;&gt;""),"",IF(DATADATE&gt;AI193,"OVERDUE",""))</f>
        <v/>
      </c>
      <c r="AL193" s="15">
        <f>IF(AH193="","",IF(AH193&lt;DATADATE,"EXPIRED",IF(AH193-DATADATE&lt;=WARN_EXP,"EXPIRING","")))</f>
        <v/>
      </c>
      <c r="AM193" s="16" t="n"/>
      <c r="AN193" s="16" t="n"/>
      <c r="AO193" s="16" t="n"/>
      <c r="AP193" s="16" t="n"/>
    </row>
    <row r="194">
      <c r="A194" s="15">
        <f>IF(AA194="","",PROJ&amp;"-NOC-"&amp;Z194&amp;"-"&amp;TEXT(AA194,"0000"))</f>
        <v/>
      </c>
      <c r="B194" s="15">
        <f>IF(AA194="","",PROJ)</f>
        <v/>
      </c>
      <c r="C194" s="16" t="n"/>
      <c r="D194" s="16" t="n"/>
      <c r="E194" s="16" t="n"/>
      <c r="F194" s="16" t="n"/>
      <c r="G194" s="16" t="n"/>
      <c r="H194" s="16" t="n"/>
      <c r="I194" s="16" t="n"/>
      <c r="J194" s="16" t="n"/>
      <c r="K194" s="16" t="n"/>
      <c r="L194" s="16" t="n"/>
      <c r="M194" s="16" t="n"/>
      <c r="N194" s="16" t="n"/>
      <c r="O194" s="17" t="n"/>
      <c r="P194" s="16" t="n"/>
      <c r="Q194" s="16" t="n"/>
      <c r="R194" s="16" t="n"/>
      <c r="S194" s="16" t="n"/>
      <c r="T194" s="16" t="n"/>
      <c r="U194" s="16" t="n"/>
      <c r="V194" s="16" t="n"/>
      <c r="W194" s="16" t="n"/>
      <c r="X194" s="16" t="n"/>
      <c r="Y194" s="16" t="n"/>
      <c r="Z194" s="16" t="n"/>
      <c r="AA194" s="16" t="n"/>
      <c r="AB194" s="18" t="n"/>
      <c r="AC194" s="15">
        <f>IF(A194="","",IF(AB194=_xlfn.MAXIFS('Register'!$AB$6:$AB$505,'Register'!$A$6:$A$505,A194),"Y","N"))</f>
        <v/>
      </c>
      <c r="AD194" s="15">
        <f>IF(A194="","",COUNTIF('Register'!$A$6:$A$505,A194))</f>
        <v/>
      </c>
      <c r="AE194" s="17" t="n"/>
      <c r="AF194" s="16" t="n"/>
      <c r="AG194" s="17" t="n"/>
      <c r="AH194" s="17" t="n"/>
      <c r="AI194" s="19">
        <f>IF(AE194="","",AE194+IF(AF194="",TA_NOC,AF194))</f>
        <v/>
      </c>
      <c r="AJ194" s="15">
        <f>IF(AE194="","",IF(AG194="",DATADATE,AG194)-AE194)</f>
        <v/>
      </c>
      <c r="AK194" s="15">
        <f>IF(OR(AI194="",AG194&lt;&gt;""),"",IF(DATADATE&gt;AI194,"OVERDUE",""))</f>
        <v/>
      </c>
      <c r="AL194" s="15">
        <f>IF(AH194="","",IF(AH194&lt;DATADATE,"EXPIRED",IF(AH194-DATADATE&lt;=WARN_EXP,"EXPIRING","")))</f>
        <v/>
      </c>
      <c r="AM194" s="16" t="n"/>
      <c r="AN194" s="16" t="n"/>
      <c r="AO194" s="16" t="n"/>
      <c r="AP194" s="16" t="n"/>
    </row>
    <row r="195">
      <c r="A195" s="15">
        <f>IF(AA195="","",PROJ&amp;"-NOC-"&amp;Z195&amp;"-"&amp;TEXT(AA195,"0000"))</f>
        <v/>
      </c>
      <c r="B195" s="15">
        <f>IF(AA195="","",PROJ)</f>
        <v/>
      </c>
      <c r="C195" s="16" t="n"/>
      <c r="D195" s="16" t="n"/>
      <c r="E195" s="16" t="n"/>
      <c r="F195" s="16" t="n"/>
      <c r="G195" s="16" t="n"/>
      <c r="H195" s="16" t="n"/>
      <c r="I195" s="16" t="n"/>
      <c r="J195" s="16" t="n"/>
      <c r="K195" s="16" t="n"/>
      <c r="L195" s="16" t="n"/>
      <c r="M195" s="16" t="n"/>
      <c r="N195" s="16" t="n"/>
      <c r="O195" s="17" t="n"/>
      <c r="P195" s="16" t="n"/>
      <c r="Q195" s="16" t="n"/>
      <c r="R195" s="16" t="n"/>
      <c r="S195" s="16" t="n"/>
      <c r="T195" s="16" t="n"/>
      <c r="U195" s="16" t="n"/>
      <c r="V195" s="16" t="n"/>
      <c r="W195" s="16" t="n"/>
      <c r="X195" s="16" t="n"/>
      <c r="Y195" s="16" t="n"/>
      <c r="Z195" s="16" t="n"/>
      <c r="AA195" s="16" t="n"/>
      <c r="AB195" s="18" t="n"/>
      <c r="AC195" s="15">
        <f>IF(A195="","",IF(AB195=_xlfn.MAXIFS('Register'!$AB$6:$AB$505,'Register'!$A$6:$A$505,A195),"Y","N"))</f>
        <v/>
      </c>
      <c r="AD195" s="15">
        <f>IF(A195="","",COUNTIF('Register'!$A$6:$A$505,A195))</f>
        <v/>
      </c>
      <c r="AE195" s="17" t="n"/>
      <c r="AF195" s="16" t="n"/>
      <c r="AG195" s="17" t="n"/>
      <c r="AH195" s="17" t="n"/>
      <c r="AI195" s="19">
        <f>IF(AE195="","",AE195+IF(AF195="",TA_NOC,AF195))</f>
        <v/>
      </c>
      <c r="AJ195" s="15">
        <f>IF(AE195="","",IF(AG195="",DATADATE,AG195)-AE195)</f>
        <v/>
      </c>
      <c r="AK195" s="15">
        <f>IF(OR(AI195="",AG195&lt;&gt;""),"",IF(DATADATE&gt;AI195,"OVERDUE",""))</f>
        <v/>
      </c>
      <c r="AL195" s="15">
        <f>IF(AH195="","",IF(AH195&lt;DATADATE,"EXPIRED",IF(AH195-DATADATE&lt;=WARN_EXP,"EXPIRING","")))</f>
        <v/>
      </c>
      <c r="AM195" s="16" t="n"/>
      <c r="AN195" s="16" t="n"/>
      <c r="AO195" s="16" t="n"/>
      <c r="AP195" s="16" t="n"/>
    </row>
    <row r="196">
      <c r="A196" s="15">
        <f>IF(AA196="","",PROJ&amp;"-NOC-"&amp;Z196&amp;"-"&amp;TEXT(AA196,"0000"))</f>
        <v/>
      </c>
      <c r="B196" s="15">
        <f>IF(AA196="","",PROJ)</f>
        <v/>
      </c>
      <c r="C196" s="16" t="n"/>
      <c r="D196" s="16" t="n"/>
      <c r="E196" s="16" t="n"/>
      <c r="F196" s="16" t="n"/>
      <c r="G196" s="16" t="n"/>
      <c r="H196" s="16" t="n"/>
      <c r="I196" s="16" t="n"/>
      <c r="J196" s="16" t="n"/>
      <c r="K196" s="16" t="n"/>
      <c r="L196" s="16" t="n"/>
      <c r="M196" s="16" t="n"/>
      <c r="N196" s="16" t="n"/>
      <c r="O196" s="17" t="n"/>
      <c r="P196" s="16" t="n"/>
      <c r="Q196" s="16" t="n"/>
      <c r="R196" s="16" t="n"/>
      <c r="S196" s="16" t="n"/>
      <c r="T196" s="16" t="n"/>
      <c r="U196" s="16" t="n"/>
      <c r="V196" s="16" t="n"/>
      <c r="W196" s="16" t="n"/>
      <c r="X196" s="16" t="n"/>
      <c r="Y196" s="16" t="n"/>
      <c r="Z196" s="16" t="n"/>
      <c r="AA196" s="16" t="n"/>
      <c r="AB196" s="18" t="n"/>
      <c r="AC196" s="15">
        <f>IF(A196="","",IF(AB196=_xlfn.MAXIFS('Register'!$AB$6:$AB$505,'Register'!$A$6:$A$505,A196),"Y","N"))</f>
        <v/>
      </c>
      <c r="AD196" s="15">
        <f>IF(A196="","",COUNTIF('Register'!$A$6:$A$505,A196))</f>
        <v/>
      </c>
      <c r="AE196" s="17" t="n"/>
      <c r="AF196" s="16" t="n"/>
      <c r="AG196" s="17" t="n"/>
      <c r="AH196" s="17" t="n"/>
      <c r="AI196" s="19">
        <f>IF(AE196="","",AE196+IF(AF196="",TA_NOC,AF196))</f>
        <v/>
      </c>
      <c r="AJ196" s="15">
        <f>IF(AE196="","",IF(AG196="",DATADATE,AG196)-AE196)</f>
        <v/>
      </c>
      <c r="AK196" s="15">
        <f>IF(OR(AI196="",AG196&lt;&gt;""),"",IF(DATADATE&gt;AI196,"OVERDUE",""))</f>
        <v/>
      </c>
      <c r="AL196" s="15">
        <f>IF(AH196="","",IF(AH196&lt;DATADATE,"EXPIRED",IF(AH196-DATADATE&lt;=WARN_EXP,"EXPIRING","")))</f>
        <v/>
      </c>
      <c r="AM196" s="16" t="n"/>
      <c r="AN196" s="16" t="n"/>
      <c r="AO196" s="16" t="n"/>
      <c r="AP196" s="16" t="n"/>
    </row>
    <row r="197">
      <c r="A197" s="15">
        <f>IF(AA197="","",PROJ&amp;"-NOC-"&amp;Z197&amp;"-"&amp;TEXT(AA197,"0000"))</f>
        <v/>
      </c>
      <c r="B197" s="15">
        <f>IF(AA197="","",PROJ)</f>
        <v/>
      </c>
      <c r="C197" s="16" t="n"/>
      <c r="D197" s="16" t="n"/>
      <c r="E197" s="16" t="n"/>
      <c r="F197" s="16" t="n"/>
      <c r="G197" s="16" t="n"/>
      <c r="H197" s="16" t="n"/>
      <c r="I197" s="16" t="n"/>
      <c r="J197" s="16" t="n"/>
      <c r="K197" s="16" t="n"/>
      <c r="L197" s="16" t="n"/>
      <c r="M197" s="16" t="n"/>
      <c r="N197" s="16" t="n"/>
      <c r="O197" s="17" t="n"/>
      <c r="P197" s="16" t="n"/>
      <c r="Q197" s="16" t="n"/>
      <c r="R197" s="16" t="n"/>
      <c r="S197" s="16" t="n"/>
      <c r="T197" s="16" t="n"/>
      <c r="U197" s="16" t="n"/>
      <c r="V197" s="16" t="n"/>
      <c r="W197" s="16" t="n"/>
      <c r="X197" s="16" t="n"/>
      <c r="Y197" s="16" t="n"/>
      <c r="Z197" s="16" t="n"/>
      <c r="AA197" s="16" t="n"/>
      <c r="AB197" s="18" t="n"/>
      <c r="AC197" s="15">
        <f>IF(A197="","",IF(AB197=_xlfn.MAXIFS('Register'!$AB$6:$AB$505,'Register'!$A$6:$A$505,A197),"Y","N"))</f>
        <v/>
      </c>
      <c r="AD197" s="15">
        <f>IF(A197="","",COUNTIF('Register'!$A$6:$A$505,A197))</f>
        <v/>
      </c>
      <c r="AE197" s="17" t="n"/>
      <c r="AF197" s="16" t="n"/>
      <c r="AG197" s="17" t="n"/>
      <c r="AH197" s="17" t="n"/>
      <c r="AI197" s="19">
        <f>IF(AE197="","",AE197+IF(AF197="",TA_NOC,AF197))</f>
        <v/>
      </c>
      <c r="AJ197" s="15">
        <f>IF(AE197="","",IF(AG197="",DATADATE,AG197)-AE197)</f>
        <v/>
      </c>
      <c r="AK197" s="15">
        <f>IF(OR(AI197="",AG197&lt;&gt;""),"",IF(DATADATE&gt;AI197,"OVERDUE",""))</f>
        <v/>
      </c>
      <c r="AL197" s="15">
        <f>IF(AH197="","",IF(AH197&lt;DATADATE,"EXPIRED",IF(AH197-DATADATE&lt;=WARN_EXP,"EXPIRING","")))</f>
        <v/>
      </c>
      <c r="AM197" s="16" t="n"/>
      <c r="AN197" s="16" t="n"/>
      <c r="AO197" s="16" t="n"/>
      <c r="AP197" s="16" t="n"/>
    </row>
    <row r="198">
      <c r="A198" s="15">
        <f>IF(AA198="","",PROJ&amp;"-NOC-"&amp;Z198&amp;"-"&amp;TEXT(AA198,"0000"))</f>
        <v/>
      </c>
      <c r="B198" s="15">
        <f>IF(AA198="","",PROJ)</f>
        <v/>
      </c>
      <c r="C198" s="16" t="n"/>
      <c r="D198" s="16" t="n"/>
      <c r="E198" s="16" t="n"/>
      <c r="F198" s="16" t="n"/>
      <c r="G198" s="16" t="n"/>
      <c r="H198" s="16" t="n"/>
      <c r="I198" s="16" t="n"/>
      <c r="J198" s="16" t="n"/>
      <c r="K198" s="16" t="n"/>
      <c r="L198" s="16" t="n"/>
      <c r="M198" s="16" t="n"/>
      <c r="N198" s="16" t="n"/>
      <c r="O198" s="17" t="n"/>
      <c r="P198" s="16" t="n"/>
      <c r="Q198" s="16" t="n"/>
      <c r="R198" s="16" t="n"/>
      <c r="S198" s="16" t="n"/>
      <c r="T198" s="16" t="n"/>
      <c r="U198" s="16" t="n"/>
      <c r="V198" s="16" t="n"/>
      <c r="W198" s="16" t="n"/>
      <c r="X198" s="16" t="n"/>
      <c r="Y198" s="16" t="n"/>
      <c r="Z198" s="16" t="n"/>
      <c r="AA198" s="16" t="n"/>
      <c r="AB198" s="18" t="n"/>
      <c r="AC198" s="15">
        <f>IF(A198="","",IF(AB198=_xlfn.MAXIFS('Register'!$AB$6:$AB$505,'Register'!$A$6:$A$505,A198),"Y","N"))</f>
        <v/>
      </c>
      <c r="AD198" s="15">
        <f>IF(A198="","",COUNTIF('Register'!$A$6:$A$505,A198))</f>
        <v/>
      </c>
      <c r="AE198" s="17" t="n"/>
      <c r="AF198" s="16" t="n"/>
      <c r="AG198" s="17" t="n"/>
      <c r="AH198" s="17" t="n"/>
      <c r="AI198" s="19">
        <f>IF(AE198="","",AE198+IF(AF198="",TA_NOC,AF198))</f>
        <v/>
      </c>
      <c r="AJ198" s="15">
        <f>IF(AE198="","",IF(AG198="",DATADATE,AG198)-AE198)</f>
        <v/>
      </c>
      <c r="AK198" s="15">
        <f>IF(OR(AI198="",AG198&lt;&gt;""),"",IF(DATADATE&gt;AI198,"OVERDUE",""))</f>
        <v/>
      </c>
      <c r="AL198" s="15">
        <f>IF(AH198="","",IF(AH198&lt;DATADATE,"EXPIRED",IF(AH198-DATADATE&lt;=WARN_EXP,"EXPIRING","")))</f>
        <v/>
      </c>
      <c r="AM198" s="16" t="n"/>
      <c r="AN198" s="16" t="n"/>
      <c r="AO198" s="16" t="n"/>
      <c r="AP198" s="16" t="n"/>
    </row>
    <row r="199">
      <c r="A199" s="15">
        <f>IF(AA199="","",PROJ&amp;"-NOC-"&amp;Z199&amp;"-"&amp;TEXT(AA199,"0000"))</f>
        <v/>
      </c>
      <c r="B199" s="15">
        <f>IF(AA199="","",PROJ)</f>
        <v/>
      </c>
      <c r="C199" s="16" t="n"/>
      <c r="D199" s="16" t="n"/>
      <c r="E199" s="16" t="n"/>
      <c r="F199" s="16" t="n"/>
      <c r="G199" s="16" t="n"/>
      <c r="H199" s="16" t="n"/>
      <c r="I199" s="16" t="n"/>
      <c r="J199" s="16" t="n"/>
      <c r="K199" s="16" t="n"/>
      <c r="L199" s="16" t="n"/>
      <c r="M199" s="16" t="n"/>
      <c r="N199" s="16" t="n"/>
      <c r="O199" s="17" t="n"/>
      <c r="P199" s="16" t="n"/>
      <c r="Q199" s="16" t="n"/>
      <c r="R199" s="16" t="n"/>
      <c r="S199" s="16" t="n"/>
      <c r="T199" s="16" t="n"/>
      <c r="U199" s="16" t="n"/>
      <c r="V199" s="16" t="n"/>
      <c r="W199" s="16" t="n"/>
      <c r="X199" s="16" t="n"/>
      <c r="Y199" s="16" t="n"/>
      <c r="Z199" s="16" t="n"/>
      <c r="AA199" s="16" t="n"/>
      <c r="AB199" s="18" t="n"/>
      <c r="AC199" s="15">
        <f>IF(A199="","",IF(AB199=_xlfn.MAXIFS('Register'!$AB$6:$AB$505,'Register'!$A$6:$A$505,A199),"Y","N"))</f>
        <v/>
      </c>
      <c r="AD199" s="15">
        <f>IF(A199="","",COUNTIF('Register'!$A$6:$A$505,A199))</f>
        <v/>
      </c>
      <c r="AE199" s="17" t="n"/>
      <c r="AF199" s="16" t="n"/>
      <c r="AG199" s="17" t="n"/>
      <c r="AH199" s="17" t="n"/>
      <c r="AI199" s="19">
        <f>IF(AE199="","",AE199+IF(AF199="",TA_NOC,AF199))</f>
        <v/>
      </c>
      <c r="AJ199" s="15">
        <f>IF(AE199="","",IF(AG199="",DATADATE,AG199)-AE199)</f>
        <v/>
      </c>
      <c r="AK199" s="15">
        <f>IF(OR(AI199="",AG199&lt;&gt;""),"",IF(DATADATE&gt;AI199,"OVERDUE",""))</f>
        <v/>
      </c>
      <c r="AL199" s="15">
        <f>IF(AH199="","",IF(AH199&lt;DATADATE,"EXPIRED",IF(AH199-DATADATE&lt;=WARN_EXP,"EXPIRING","")))</f>
        <v/>
      </c>
      <c r="AM199" s="16" t="n"/>
      <c r="AN199" s="16" t="n"/>
      <c r="AO199" s="16" t="n"/>
      <c r="AP199" s="16" t="n"/>
    </row>
    <row r="200">
      <c r="A200" s="15">
        <f>IF(AA200="","",PROJ&amp;"-NOC-"&amp;Z200&amp;"-"&amp;TEXT(AA200,"0000"))</f>
        <v/>
      </c>
      <c r="B200" s="15">
        <f>IF(AA200="","",PROJ)</f>
        <v/>
      </c>
      <c r="C200" s="16" t="n"/>
      <c r="D200" s="16" t="n"/>
      <c r="E200" s="16" t="n"/>
      <c r="F200" s="16" t="n"/>
      <c r="G200" s="16" t="n"/>
      <c r="H200" s="16" t="n"/>
      <c r="I200" s="16" t="n"/>
      <c r="J200" s="16" t="n"/>
      <c r="K200" s="16" t="n"/>
      <c r="L200" s="16" t="n"/>
      <c r="M200" s="16" t="n"/>
      <c r="N200" s="16" t="n"/>
      <c r="O200" s="17" t="n"/>
      <c r="P200" s="16" t="n"/>
      <c r="Q200" s="16" t="n"/>
      <c r="R200" s="16" t="n"/>
      <c r="S200" s="16" t="n"/>
      <c r="T200" s="16" t="n"/>
      <c r="U200" s="16" t="n"/>
      <c r="V200" s="16" t="n"/>
      <c r="W200" s="16" t="n"/>
      <c r="X200" s="16" t="n"/>
      <c r="Y200" s="16" t="n"/>
      <c r="Z200" s="16" t="n"/>
      <c r="AA200" s="16" t="n"/>
      <c r="AB200" s="18" t="n"/>
      <c r="AC200" s="15">
        <f>IF(A200="","",IF(AB200=_xlfn.MAXIFS('Register'!$AB$6:$AB$505,'Register'!$A$6:$A$505,A200),"Y","N"))</f>
        <v/>
      </c>
      <c r="AD200" s="15">
        <f>IF(A200="","",COUNTIF('Register'!$A$6:$A$505,A200))</f>
        <v/>
      </c>
      <c r="AE200" s="17" t="n"/>
      <c r="AF200" s="16" t="n"/>
      <c r="AG200" s="17" t="n"/>
      <c r="AH200" s="17" t="n"/>
      <c r="AI200" s="19">
        <f>IF(AE200="","",AE200+IF(AF200="",TA_NOC,AF200))</f>
        <v/>
      </c>
      <c r="AJ200" s="15">
        <f>IF(AE200="","",IF(AG200="",DATADATE,AG200)-AE200)</f>
        <v/>
      </c>
      <c r="AK200" s="15">
        <f>IF(OR(AI200="",AG200&lt;&gt;""),"",IF(DATADATE&gt;AI200,"OVERDUE",""))</f>
        <v/>
      </c>
      <c r="AL200" s="15">
        <f>IF(AH200="","",IF(AH200&lt;DATADATE,"EXPIRED",IF(AH200-DATADATE&lt;=WARN_EXP,"EXPIRING","")))</f>
        <v/>
      </c>
      <c r="AM200" s="16" t="n"/>
      <c r="AN200" s="16" t="n"/>
      <c r="AO200" s="16" t="n"/>
      <c r="AP200" s="16" t="n"/>
    </row>
    <row r="201">
      <c r="A201" s="15">
        <f>IF(AA201="","",PROJ&amp;"-NOC-"&amp;Z201&amp;"-"&amp;TEXT(AA201,"0000"))</f>
        <v/>
      </c>
      <c r="B201" s="15">
        <f>IF(AA201="","",PROJ)</f>
        <v/>
      </c>
      <c r="C201" s="16" t="n"/>
      <c r="D201" s="16" t="n"/>
      <c r="E201" s="16" t="n"/>
      <c r="F201" s="16" t="n"/>
      <c r="G201" s="16" t="n"/>
      <c r="H201" s="16" t="n"/>
      <c r="I201" s="16" t="n"/>
      <c r="J201" s="16" t="n"/>
      <c r="K201" s="16" t="n"/>
      <c r="L201" s="16" t="n"/>
      <c r="M201" s="16" t="n"/>
      <c r="N201" s="16" t="n"/>
      <c r="O201" s="17" t="n"/>
      <c r="P201" s="16" t="n"/>
      <c r="Q201" s="16" t="n"/>
      <c r="R201" s="16" t="n"/>
      <c r="S201" s="16" t="n"/>
      <c r="T201" s="16" t="n"/>
      <c r="U201" s="16" t="n"/>
      <c r="V201" s="16" t="n"/>
      <c r="W201" s="16" t="n"/>
      <c r="X201" s="16" t="n"/>
      <c r="Y201" s="16" t="n"/>
      <c r="Z201" s="16" t="n"/>
      <c r="AA201" s="16" t="n"/>
      <c r="AB201" s="18" t="n"/>
      <c r="AC201" s="15">
        <f>IF(A201="","",IF(AB201=_xlfn.MAXIFS('Register'!$AB$6:$AB$505,'Register'!$A$6:$A$505,A201),"Y","N"))</f>
        <v/>
      </c>
      <c r="AD201" s="15">
        <f>IF(A201="","",COUNTIF('Register'!$A$6:$A$505,A201))</f>
        <v/>
      </c>
      <c r="AE201" s="17" t="n"/>
      <c r="AF201" s="16" t="n"/>
      <c r="AG201" s="17" t="n"/>
      <c r="AH201" s="17" t="n"/>
      <c r="AI201" s="19">
        <f>IF(AE201="","",AE201+IF(AF201="",TA_NOC,AF201))</f>
        <v/>
      </c>
      <c r="AJ201" s="15">
        <f>IF(AE201="","",IF(AG201="",DATADATE,AG201)-AE201)</f>
        <v/>
      </c>
      <c r="AK201" s="15">
        <f>IF(OR(AI201="",AG201&lt;&gt;""),"",IF(DATADATE&gt;AI201,"OVERDUE",""))</f>
        <v/>
      </c>
      <c r="AL201" s="15">
        <f>IF(AH201="","",IF(AH201&lt;DATADATE,"EXPIRED",IF(AH201-DATADATE&lt;=WARN_EXP,"EXPIRING","")))</f>
        <v/>
      </c>
      <c r="AM201" s="16" t="n"/>
      <c r="AN201" s="16" t="n"/>
      <c r="AO201" s="16" t="n"/>
      <c r="AP201" s="16" t="n"/>
    </row>
    <row r="202">
      <c r="A202" s="15">
        <f>IF(AA202="","",PROJ&amp;"-NOC-"&amp;Z202&amp;"-"&amp;TEXT(AA202,"0000"))</f>
        <v/>
      </c>
      <c r="B202" s="15">
        <f>IF(AA202="","",PROJ)</f>
        <v/>
      </c>
      <c r="C202" s="16" t="n"/>
      <c r="D202" s="16" t="n"/>
      <c r="E202" s="16" t="n"/>
      <c r="F202" s="16" t="n"/>
      <c r="G202" s="16" t="n"/>
      <c r="H202" s="16" t="n"/>
      <c r="I202" s="16" t="n"/>
      <c r="J202" s="16" t="n"/>
      <c r="K202" s="16" t="n"/>
      <c r="L202" s="16" t="n"/>
      <c r="M202" s="16" t="n"/>
      <c r="N202" s="16" t="n"/>
      <c r="O202" s="17" t="n"/>
      <c r="P202" s="16" t="n"/>
      <c r="Q202" s="16" t="n"/>
      <c r="R202" s="16" t="n"/>
      <c r="S202" s="16" t="n"/>
      <c r="T202" s="16" t="n"/>
      <c r="U202" s="16" t="n"/>
      <c r="V202" s="16" t="n"/>
      <c r="W202" s="16" t="n"/>
      <c r="X202" s="16" t="n"/>
      <c r="Y202" s="16" t="n"/>
      <c r="Z202" s="16" t="n"/>
      <c r="AA202" s="16" t="n"/>
      <c r="AB202" s="18" t="n"/>
      <c r="AC202" s="15">
        <f>IF(A202="","",IF(AB202=_xlfn.MAXIFS('Register'!$AB$6:$AB$505,'Register'!$A$6:$A$505,A202),"Y","N"))</f>
        <v/>
      </c>
      <c r="AD202" s="15">
        <f>IF(A202="","",COUNTIF('Register'!$A$6:$A$505,A202))</f>
        <v/>
      </c>
      <c r="AE202" s="17" t="n"/>
      <c r="AF202" s="16" t="n"/>
      <c r="AG202" s="17" t="n"/>
      <c r="AH202" s="17" t="n"/>
      <c r="AI202" s="19">
        <f>IF(AE202="","",AE202+IF(AF202="",TA_NOC,AF202))</f>
        <v/>
      </c>
      <c r="AJ202" s="15">
        <f>IF(AE202="","",IF(AG202="",DATADATE,AG202)-AE202)</f>
        <v/>
      </c>
      <c r="AK202" s="15">
        <f>IF(OR(AI202="",AG202&lt;&gt;""),"",IF(DATADATE&gt;AI202,"OVERDUE",""))</f>
        <v/>
      </c>
      <c r="AL202" s="15">
        <f>IF(AH202="","",IF(AH202&lt;DATADATE,"EXPIRED",IF(AH202-DATADATE&lt;=WARN_EXP,"EXPIRING","")))</f>
        <v/>
      </c>
      <c r="AM202" s="16" t="n"/>
      <c r="AN202" s="16" t="n"/>
      <c r="AO202" s="16" t="n"/>
      <c r="AP202" s="16" t="n"/>
    </row>
    <row r="203">
      <c r="A203" s="15">
        <f>IF(AA203="","",PROJ&amp;"-NOC-"&amp;Z203&amp;"-"&amp;TEXT(AA203,"0000"))</f>
        <v/>
      </c>
      <c r="B203" s="15">
        <f>IF(AA203="","",PROJ)</f>
        <v/>
      </c>
      <c r="C203" s="16" t="n"/>
      <c r="D203" s="16" t="n"/>
      <c r="E203" s="16" t="n"/>
      <c r="F203" s="16" t="n"/>
      <c r="G203" s="16" t="n"/>
      <c r="H203" s="16" t="n"/>
      <c r="I203" s="16" t="n"/>
      <c r="J203" s="16" t="n"/>
      <c r="K203" s="16" t="n"/>
      <c r="L203" s="16" t="n"/>
      <c r="M203" s="16" t="n"/>
      <c r="N203" s="16" t="n"/>
      <c r="O203" s="17" t="n"/>
      <c r="P203" s="16" t="n"/>
      <c r="Q203" s="16" t="n"/>
      <c r="R203" s="16" t="n"/>
      <c r="S203" s="16" t="n"/>
      <c r="T203" s="16" t="n"/>
      <c r="U203" s="16" t="n"/>
      <c r="V203" s="16" t="n"/>
      <c r="W203" s="16" t="n"/>
      <c r="X203" s="16" t="n"/>
      <c r="Y203" s="16" t="n"/>
      <c r="Z203" s="16" t="n"/>
      <c r="AA203" s="16" t="n"/>
      <c r="AB203" s="18" t="n"/>
      <c r="AC203" s="15">
        <f>IF(A203="","",IF(AB203=_xlfn.MAXIFS('Register'!$AB$6:$AB$505,'Register'!$A$6:$A$505,A203),"Y","N"))</f>
        <v/>
      </c>
      <c r="AD203" s="15">
        <f>IF(A203="","",COUNTIF('Register'!$A$6:$A$505,A203))</f>
        <v/>
      </c>
      <c r="AE203" s="17" t="n"/>
      <c r="AF203" s="16" t="n"/>
      <c r="AG203" s="17" t="n"/>
      <c r="AH203" s="17" t="n"/>
      <c r="AI203" s="19">
        <f>IF(AE203="","",AE203+IF(AF203="",TA_NOC,AF203))</f>
        <v/>
      </c>
      <c r="AJ203" s="15">
        <f>IF(AE203="","",IF(AG203="",DATADATE,AG203)-AE203)</f>
        <v/>
      </c>
      <c r="AK203" s="15">
        <f>IF(OR(AI203="",AG203&lt;&gt;""),"",IF(DATADATE&gt;AI203,"OVERDUE",""))</f>
        <v/>
      </c>
      <c r="AL203" s="15">
        <f>IF(AH203="","",IF(AH203&lt;DATADATE,"EXPIRED",IF(AH203-DATADATE&lt;=WARN_EXP,"EXPIRING","")))</f>
        <v/>
      </c>
      <c r="AM203" s="16" t="n"/>
      <c r="AN203" s="16" t="n"/>
      <c r="AO203" s="16" t="n"/>
      <c r="AP203" s="16" t="n"/>
    </row>
    <row r="204">
      <c r="A204" s="15">
        <f>IF(AA204="","",PROJ&amp;"-NOC-"&amp;Z204&amp;"-"&amp;TEXT(AA204,"0000"))</f>
        <v/>
      </c>
      <c r="B204" s="15">
        <f>IF(AA204="","",PROJ)</f>
        <v/>
      </c>
      <c r="C204" s="16" t="n"/>
      <c r="D204" s="16" t="n"/>
      <c r="E204" s="16" t="n"/>
      <c r="F204" s="16" t="n"/>
      <c r="G204" s="16" t="n"/>
      <c r="H204" s="16" t="n"/>
      <c r="I204" s="16" t="n"/>
      <c r="J204" s="16" t="n"/>
      <c r="K204" s="16" t="n"/>
      <c r="L204" s="16" t="n"/>
      <c r="M204" s="16" t="n"/>
      <c r="N204" s="16" t="n"/>
      <c r="O204" s="17" t="n"/>
      <c r="P204" s="16" t="n"/>
      <c r="Q204" s="16" t="n"/>
      <c r="R204" s="16" t="n"/>
      <c r="S204" s="16" t="n"/>
      <c r="T204" s="16" t="n"/>
      <c r="U204" s="16" t="n"/>
      <c r="V204" s="16" t="n"/>
      <c r="W204" s="16" t="n"/>
      <c r="X204" s="16" t="n"/>
      <c r="Y204" s="16" t="n"/>
      <c r="Z204" s="16" t="n"/>
      <c r="AA204" s="16" t="n"/>
      <c r="AB204" s="18" t="n"/>
      <c r="AC204" s="15">
        <f>IF(A204="","",IF(AB204=_xlfn.MAXIFS('Register'!$AB$6:$AB$505,'Register'!$A$6:$A$505,A204),"Y","N"))</f>
        <v/>
      </c>
      <c r="AD204" s="15">
        <f>IF(A204="","",COUNTIF('Register'!$A$6:$A$505,A204))</f>
        <v/>
      </c>
      <c r="AE204" s="17" t="n"/>
      <c r="AF204" s="16" t="n"/>
      <c r="AG204" s="17" t="n"/>
      <c r="AH204" s="17" t="n"/>
      <c r="AI204" s="19">
        <f>IF(AE204="","",AE204+IF(AF204="",TA_NOC,AF204))</f>
        <v/>
      </c>
      <c r="AJ204" s="15">
        <f>IF(AE204="","",IF(AG204="",DATADATE,AG204)-AE204)</f>
        <v/>
      </c>
      <c r="AK204" s="15">
        <f>IF(OR(AI204="",AG204&lt;&gt;""),"",IF(DATADATE&gt;AI204,"OVERDUE",""))</f>
        <v/>
      </c>
      <c r="AL204" s="15">
        <f>IF(AH204="","",IF(AH204&lt;DATADATE,"EXPIRED",IF(AH204-DATADATE&lt;=WARN_EXP,"EXPIRING","")))</f>
        <v/>
      </c>
      <c r="AM204" s="16" t="n"/>
      <c r="AN204" s="16" t="n"/>
      <c r="AO204" s="16" t="n"/>
      <c r="AP204" s="16" t="n"/>
    </row>
    <row r="205">
      <c r="A205" s="15">
        <f>IF(AA205="","",PROJ&amp;"-NOC-"&amp;Z205&amp;"-"&amp;TEXT(AA205,"0000"))</f>
        <v/>
      </c>
      <c r="B205" s="15">
        <f>IF(AA205="","",PROJ)</f>
        <v/>
      </c>
      <c r="C205" s="16" t="n"/>
      <c r="D205" s="16" t="n"/>
      <c r="E205" s="16" t="n"/>
      <c r="F205" s="16" t="n"/>
      <c r="G205" s="16" t="n"/>
      <c r="H205" s="16" t="n"/>
      <c r="I205" s="16" t="n"/>
      <c r="J205" s="16" t="n"/>
      <c r="K205" s="16" t="n"/>
      <c r="L205" s="16" t="n"/>
      <c r="M205" s="16" t="n"/>
      <c r="N205" s="16" t="n"/>
      <c r="O205" s="17" t="n"/>
      <c r="P205" s="16" t="n"/>
      <c r="Q205" s="16" t="n"/>
      <c r="R205" s="16" t="n"/>
      <c r="S205" s="16" t="n"/>
      <c r="T205" s="16" t="n"/>
      <c r="U205" s="16" t="n"/>
      <c r="V205" s="16" t="n"/>
      <c r="W205" s="16" t="n"/>
      <c r="X205" s="16" t="n"/>
      <c r="Y205" s="16" t="n"/>
      <c r="Z205" s="16" t="n"/>
      <c r="AA205" s="16" t="n"/>
      <c r="AB205" s="18" t="n"/>
      <c r="AC205" s="15">
        <f>IF(A205="","",IF(AB205=_xlfn.MAXIFS('Register'!$AB$6:$AB$505,'Register'!$A$6:$A$505,A205),"Y","N"))</f>
        <v/>
      </c>
      <c r="AD205" s="15">
        <f>IF(A205="","",COUNTIF('Register'!$A$6:$A$505,A205))</f>
        <v/>
      </c>
      <c r="AE205" s="17" t="n"/>
      <c r="AF205" s="16" t="n"/>
      <c r="AG205" s="17" t="n"/>
      <c r="AH205" s="17" t="n"/>
      <c r="AI205" s="19">
        <f>IF(AE205="","",AE205+IF(AF205="",TA_NOC,AF205))</f>
        <v/>
      </c>
      <c r="AJ205" s="15">
        <f>IF(AE205="","",IF(AG205="",DATADATE,AG205)-AE205)</f>
        <v/>
      </c>
      <c r="AK205" s="15">
        <f>IF(OR(AI205="",AG205&lt;&gt;""),"",IF(DATADATE&gt;AI205,"OVERDUE",""))</f>
        <v/>
      </c>
      <c r="AL205" s="15">
        <f>IF(AH205="","",IF(AH205&lt;DATADATE,"EXPIRED",IF(AH205-DATADATE&lt;=WARN_EXP,"EXPIRING","")))</f>
        <v/>
      </c>
      <c r="AM205" s="16" t="n"/>
      <c r="AN205" s="16" t="n"/>
      <c r="AO205" s="16" t="n"/>
      <c r="AP205" s="16" t="n"/>
    </row>
    <row r="206">
      <c r="A206" s="15">
        <f>IF(AA206="","",PROJ&amp;"-NOC-"&amp;Z206&amp;"-"&amp;TEXT(AA206,"0000"))</f>
        <v/>
      </c>
      <c r="B206" s="15">
        <f>IF(AA206="","",PROJ)</f>
        <v/>
      </c>
      <c r="C206" s="16" t="n"/>
      <c r="D206" s="16" t="n"/>
      <c r="E206" s="16" t="n"/>
      <c r="F206" s="16" t="n"/>
      <c r="G206" s="16" t="n"/>
      <c r="H206" s="16" t="n"/>
      <c r="I206" s="16" t="n"/>
      <c r="J206" s="16" t="n"/>
      <c r="K206" s="16" t="n"/>
      <c r="L206" s="16" t="n"/>
      <c r="M206" s="16" t="n"/>
      <c r="N206" s="16" t="n"/>
      <c r="O206" s="17" t="n"/>
      <c r="P206" s="16" t="n"/>
      <c r="Q206" s="16" t="n"/>
      <c r="R206" s="16" t="n"/>
      <c r="S206" s="16" t="n"/>
      <c r="T206" s="16" t="n"/>
      <c r="U206" s="16" t="n"/>
      <c r="V206" s="16" t="n"/>
      <c r="W206" s="16" t="n"/>
      <c r="X206" s="16" t="n"/>
      <c r="Y206" s="16" t="n"/>
      <c r="Z206" s="16" t="n"/>
      <c r="AA206" s="16" t="n"/>
      <c r="AB206" s="18" t="n"/>
      <c r="AC206" s="15">
        <f>IF(A206="","",IF(AB206=_xlfn.MAXIFS('Register'!$AB$6:$AB$505,'Register'!$A$6:$A$505,A206),"Y","N"))</f>
        <v/>
      </c>
      <c r="AD206" s="15">
        <f>IF(A206="","",COUNTIF('Register'!$A$6:$A$505,A206))</f>
        <v/>
      </c>
      <c r="AE206" s="17" t="n"/>
      <c r="AF206" s="16" t="n"/>
      <c r="AG206" s="17" t="n"/>
      <c r="AH206" s="17" t="n"/>
      <c r="AI206" s="19">
        <f>IF(AE206="","",AE206+IF(AF206="",TA_NOC,AF206))</f>
        <v/>
      </c>
      <c r="AJ206" s="15">
        <f>IF(AE206="","",IF(AG206="",DATADATE,AG206)-AE206)</f>
        <v/>
      </c>
      <c r="AK206" s="15">
        <f>IF(OR(AI206="",AG206&lt;&gt;""),"",IF(DATADATE&gt;AI206,"OVERDUE",""))</f>
        <v/>
      </c>
      <c r="AL206" s="15">
        <f>IF(AH206="","",IF(AH206&lt;DATADATE,"EXPIRED",IF(AH206-DATADATE&lt;=WARN_EXP,"EXPIRING","")))</f>
        <v/>
      </c>
      <c r="AM206" s="16" t="n"/>
      <c r="AN206" s="16" t="n"/>
      <c r="AO206" s="16" t="n"/>
      <c r="AP206" s="16" t="n"/>
    </row>
    <row r="207">
      <c r="A207" s="15">
        <f>IF(AA207="","",PROJ&amp;"-NOC-"&amp;Z207&amp;"-"&amp;TEXT(AA207,"0000"))</f>
        <v/>
      </c>
      <c r="B207" s="15">
        <f>IF(AA207="","",PROJ)</f>
        <v/>
      </c>
      <c r="C207" s="16" t="n"/>
      <c r="D207" s="16" t="n"/>
      <c r="E207" s="16" t="n"/>
      <c r="F207" s="16" t="n"/>
      <c r="G207" s="16" t="n"/>
      <c r="H207" s="16" t="n"/>
      <c r="I207" s="16" t="n"/>
      <c r="J207" s="16" t="n"/>
      <c r="K207" s="16" t="n"/>
      <c r="L207" s="16" t="n"/>
      <c r="M207" s="16" t="n"/>
      <c r="N207" s="16" t="n"/>
      <c r="O207" s="17" t="n"/>
      <c r="P207" s="16" t="n"/>
      <c r="Q207" s="16" t="n"/>
      <c r="R207" s="16" t="n"/>
      <c r="S207" s="16" t="n"/>
      <c r="T207" s="16" t="n"/>
      <c r="U207" s="16" t="n"/>
      <c r="V207" s="16" t="n"/>
      <c r="W207" s="16" t="n"/>
      <c r="X207" s="16" t="n"/>
      <c r="Y207" s="16" t="n"/>
      <c r="Z207" s="16" t="n"/>
      <c r="AA207" s="16" t="n"/>
      <c r="AB207" s="18" t="n"/>
      <c r="AC207" s="15">
        <f>IF(A207="","",IF(AB207=_xlfn.MAXIFS('Register'!$AB$6:$AB$505,'Register'!$A$6:$A$505,A207),"Y","N"))</f>
        <v/>
      </c>
      <c r="AD207" s="15">
        <f>IF(A207="","",COUNTIF('Register'!$A$6:$A$505,A207))</f>
        <v/>
      </c>
      <c r="AE207" s="17" t="n"/>
      <c r="AF207" s="16" t="n"/>
      <c r="AG207" s="17" t="n"/>
      <c r="AH207" s="17" t="n"/>
      <c r="AI207" s="19">
        <f>IF(AE207="","",AE207+IF(AF207="",TA_NOC,AF207))</f>
        <v/>
      </c>
      <c r="AJ207" s="15">
        <f>IF(AE207="","",IF(AG207="",DATADATE,AG207)-AE207)</f>
        <v/>
      </c>
      <c r="AK207" s="15">
        <f>IF(OR(AI207="",AG207&lt;&gt;""),"",IF(DATADATE&gt;AI207,"OVERDUE",""))</f>
        <v/>
      </c>
      <c r="AL207" s="15">
        <f>IF(AH207="","",IF(AH207&lt;DATADATE,"EXPIRED",IF(AH207-DATADATE&lt;=WARN_EXP,"EXPIRING","")))</f>
        <v/>
      </c>
      <c r="AM207" s="16" t="n"/>
      <c r="AN207" s="16" t="n"/>
      <c r="AO207" s="16" t="n"/>
      <c r="AP207" s="16" t="n"/>
    </row>
    <row r="208">
      <c r="A208" s="15">
        <f>IF(AA208="","",PROJ&amp;"-NOC-"&amp;Z208&amp;"-"&amp;TEXT(AA208,"0000"))</f>
        <v/>
      </c>
      <c r="B208" s="15">
        <f>IF(AA208="","",PROJ)</f>
        <v/>
      </c>
      <c r="C208" s="16" t="n"/>
      <c r="D208" s="16" t="n"/>
      <c r="E208" s="16" t="n"/>
      <c r="F208" s="16" t="n"/>
      <c r="G208" s="16" t="n"/>
      <c r="H208" s="16" t="n"/>
      <c r="I208" s="16" t="n"/>
      <c r="J208" s="16" t="n"/>
      <c r="K208" s="16" t="n"/>
      <c r="L208" s="16" t="n"/>
      <c r="M208" s="16" t="n"/>
      <c r="N208" s="16" t="n"/>
      <c r="O208" s="17" t="n"/>
      <c r="P208" s="16" t="n"/>
      <c r="Q208" s="16" t="n"/>
      <c r="R208" s="16" t="n"/>
      <c r="S208" s="16" t="n"/>
      <c r="T208" s="16" t="n"/>
      <c r="U208" s="16" t="n"/>
      <c r="V208" s="16" t="n"/>
      <c r="W208" s="16" t="n"/>
      <c r="X208" s="16" t="n"/>
      <c r="Y208" s="16" t="n"/>
      <c r="Z208" s="16" t="n"/>
      <c r="AA208" s="16" t="n"/>
      <c r="AB208" s="18" t="n"/>
      <c r="AC208" s="15">
        <f>IF(A208="","",IF(AB208=_xlfn.MAXIFS('Register'!$AB$6:$AB$505,'Register'!$A$6:$A$505,A208),"Y","N"))</f>
        <v/>
      </c>
      <c r="AD208" s="15">
        <f>IF(A208="","",COUNTIF('Register'!$A$6:$A$505,A208))</f>
        <v/>
      </c>
      <c r="AE208" s="17" t="n"/>
      <c r="AF208" s="16" t="n"/>
      <c r="AG208" s="17" t="n"/>
      <c r="AH208" s="17" t="n"/>
      <c r="AI208" s="19">
        <f>IF(AE208="","",AE208+IF(AF208="",TA_NOC,AF208))</f>
        <v/>
      </c>
      <c r="AJ208" s="15">
        <f>IF(AE208="","",IF(AG208="",DATADATE,AG208)-AE208)</f>
        <v/>
      </c>
      <c r="AK208" s="15">
        <f>IF(OR(AI208="",AG208&lt;&gt;""),"",IF(DATADATE&gt;AI208,"OVERDUE",""))</f>
        <v/>
      </c>
      <c r="AL208" s="15">
        <f>IF(AH208="","",IF(AH208&lt;DATADATE,"EXPIRED",IF(AH208-DATADATE&lt;=WARN_EXP,"EXPIRING","")))</f>
        <v/>
      </c>
      <c r="AM208" s="16" t="n"/>
      <c r="AN208" s="16" t="n"/>
      <c r="AO208" s="16" t="n"/>
      <c r="AP208" s="16" t="n"/>
    </row>
    <row r="209">
      <c r="A209" s="15">
        <f>IF(AA209="","",PROJ&amp;"-NOC-"&amp;Z209&amp;"-"&amp;TEXT(AA209,"0000"))</f>
        <v/>
      </c>
      <c r="B209" s="15">
        <f>IF(AA209="","",PROJ)</f>
        <v/>
      </c>
      <c r="C209" s="16" t="n"/>
      <c r="D209" s="16" t="n"/>
      <c r="E209" s="16" t="n"/>
      <c r="F209" s="16" t="n"/>
      <c r="G209" s="16" t="n"/>
      <c r="H209" s="16" t="n"/>
      <c r="I209" s="16" t="n"/>
      <c r="J209" s="16" t="n"/>
      <c r="K209" s="16" t="n"/>
      <c r="L209" s="16" t="n"/>
      <c r="M209" s="16" t="n"/>
      <c r="N209" s="16" t="n"/>
      <c r="O209" s="17" t="n"/>
      <c r="P209" s="16" t="n"/>
      <c r="Q209" s="16" t="n"/>
      <c r="R209" s="16" t="n"/>
      <c r="S209" s="16" t="n"/>
      <c r="T209" s="16" t="n"/>
      <c r="U209" s="16" t="n"/>
      <c r="V209" s="16" t="n"/>
      <c r="W209" s="16" t="n"/>
      <c r="X209" s="16" t="n"/>
      <c r="Y209" s="16" t="n"/>
      <c r="Z209" s="16" t="n"/>
      <c r="AA209" s="16" t="n"/>
      <c r="AB209" s="18" t="n"/>
      <c r="AC209" s="15">
        <f>IF(A209="","",IF(AB209=_xlfn.MAXIFS('Register'!$AB$6:$AB$505,'Register'!$A$6:$A$505,A209),"Y","N"))</f>
        <v/>
      </c>
      <c r="AD209" s="15">
        <f>IF(A209="","",COUNTIF('Register'!$A$6:$A$505,A209))</f>
        <v/>
      </c>
      <c r="AE209" s="17" t="n"/>
      <c r="AF209" s="16" t="n"/>
      <c r="AG209" s="17" t="n"/>
      <c r="AH209" s="17" t="n"/>
      <c r="AI209" s="19">
        <f>IF(AE209="","",AE209+IF(AF209="",TA_NOC,AF209))</f>
        <v/>
      </c>
      <c r="AJ209" s="15">
        <f>IF(AE209="","",IF(AG209="",DATADATE,AG209)-AE209)</f>
        <v/>
      </c>
      <c r="AK209" s="15">
        <f>IF(OR(AI209="",AG209&lt;&gt;""),"",IF(DATADATE&gt;AI209,"OVERDUE",""))</f>
        <v/>
      </c>
      <c r="AL209" s="15">
        <f>IF(AH209="","",IF(AH209&lt;DATADATE,"EXPIRED",IF(AH209-DATADATE&lt;=WARN_EXP,"EXPIRING","")))</f>
        <v/>
      </c>
      <c r="AM209" s="16" t="n"/>
      <c r="AN209" s="16" t="n"/>
      <c r="AO209" s="16" t="n"/>
      <c r="AP209" s="16" t="n"/>
    </row>
    <row r="210">
      <c r="A210" s="15">
        <f>IF(AA210="","",PROJ&amp;"-NOC-"&amp;Z210&amp;"-"&amp;TEXT(AA210,"0000"))</f>
        <v/>
      </c>
      <c r="B210" s="15">
        <f>IF(AA210="","",PROJ)</f>
        <v/>
      </c>
      <c r="C210" s="16" t="n"/>
      <c r="D210" s="16" t="n"/>
      <c r="E210" s="16" t="n"/>
      <c r="F210" s="16" t="n"/>
      <c r="G210" s="16" t="n"/>
      <c r="H210" s="16" t="n"/>
      <c r="I210" s="16" t="n"/>
      <c r="J210" s="16" t="n"/>
      <c r="K210" s="16" t="n"/>
      <c r="L210" s="16" t="n"/>
      <c r="M210" s="16" t="n"/>
      <c r="N210" s="16" t="n"/>
      <c r="O210" s="17" t="n"/>
      <c r="P210" s="16" t="n"/>
      <c r="Q210" s="16" t="n"/>
      <c r="R210" s="16" t="n"/>
      <c r="S210" s="16" t="n"/>
      <c r="T210" s="16" t="n"/>
      <c r="U210" s="16" t="n"/>
      <c r="V210" s="16" t="n"/>
      <c r="W210" s="16" t="n"/>
      <c r="X210" s="16" t="n"/>
      <c r="Y210" s="16" t="n"/>
      <c r="Z210" s="16" t="n"/>
      <c r="AA210" s="16" t="n"/>
      <c r="AB210" s="18" t="n"/>
      <c r="AC210" s="15">
        <f>IF(A210="","",IF(AB210=_xlfn.MAXIFS('Register'!$AB$6:$AB$505,'Register'!$A$6:$A$505,A210),"Y","N"))</f>
        <v/>
      </c>
      <c r="AD210" s="15">
        <f>IF(A210="","",COUNTIF('Register'!$A$6:$A$505,A210))</f>
        <v/>
      </c>
      <c r="AE210" s="17" t="n"/>
      <c r="AF210" s="16" t="n"/>
      <c r="AG210" s="17" t="n"/>
      <c r="AH210" s="17" t="n"/>
      <c r="AI210" s="19">
        <f>IF(AE210="","",AE210+IF(AF210="",TA_NOC,AF210))</f>
        <v/>
      </c>
      <c r="AJ210" s="15">
        <f>IF(AE210="","",IF(AG210="",DATADATE,AG210)-AE210)</f>
        <v/>
      </c>
      <c r="AK210" s="15">
        <f>IF(OR(AI210="",AG210&lt;&gt;""),"",IF(DATADATE&gt;AI210,"OVERDUE",""))</f>
        <v/>
      </c>
      <c r="AL210" s="15">
        <f>IF(AH210="","",IF(AH210&lt;DATADATE,"EXPIRED",IF(AH210-DATADATE&lt;=WARN_EXP,"EXPIRING","")))</f>
        <v/>
      </c>
      <c r="AM210" s="16" t="n"/>
      <c r="AN210" s="16" t="n"/>
      <c r="AO210" s="16" t="n"/>
      <c r="AP210" s="16" t="n"/>
    </row>
    <row r="211">
      <c r="A211" s="15">
        <f>IF(AA211="","",PROJ&amp;"-NOC-"&amp;Z211&amp;"-"&amp;TEXT(AA211,"0000"))</f>
        <v/>
      </c>
      <c r="B211" s="15">
        <f>IF(AA211="","",PROJ)</f>
        <v/>
      </c>
      <c r="C211" s="16" t="n"/>
      <c r="D211" s="16" t="n"/>
      <c r="E211" s="16" t="n"/>
      <c r="F211" s="16" t="n"/>
      <c r="G211" s="16" t="n"/>
      <c r="H211" s="16" t="n"/>
      <c r="I211" s="16" t="n"/>
      <c r="J211" s="16" t="n"/>
      <c r="K211" s="16" t="n"/>
      <c r="L211" s="16" t="n"/>
      <c r="M211" s="16" t="n"/>
      <c r="N211" s="16" t="n"/>
      <c r="O211" s="17" t="n"/>
      <c r="P211" s="16" t="n"/>
      <c r="Q211" s="16" t="n"/>
      <c r="R211" s="16" t="n"/>
      <c r="S211" s="16" t="n"/>
      <c r="T211" s="16" t="n"/>
      <c r="U211" s="16" t="n"/>
      <c r="V211" s="16" t="n"/>
      <c r="W211" s="16" t="n"/>
      <c r="X211" s="16" t="n"/>
      <c r="Y211" s="16" t="n"/>
      <c r="Z211" s="16" t="n"/>
      <c r="AA211" s="16" t="n"/>
      <c r="AB211" s="18" t="n"/>
      <c r="AC211" s="15">
        <f>IF(A211="","",IF(AB211=_xlfn.MAXIFS('Register'!$AB$6:$AB$505,'Register'!$A$6:$A$505,A211),"Y","N"))</f>
        <v/>
      </c>
      <c r="AD211" s="15">
        <f>IF(A211="","",COUNTIF('Register'!$A$6:$A$505,A211))</f>
        <v/>
      </c>
      <c r="AE211" s="17" t="n"/>
      <c r="AF211" s="16" t="n"/>
      <c r="AG211" s="17" t="n"/>
      <c r="AH211" s="17" t="n"/>
      <c r="AI211" s="19">
        <f>IF(AE211="","",AE211+IF(AF211="",TA_NOC,AF211))</f>
        <v/>
      </c>
      <c r="AJ211" s="15">
        <f>IF(AE211="","",IF(AG211="",DATADATE,AG211)-AE211)</f>
        <v/>
      </c>
      <c r="AK211" s="15">
        <f>IF(OR(AI211="",AG211&lt;&gt;""),"",IF(DATADATE&gt;AI211,"OVERDUE",""))</f>
        <v/>
      </c>
      <c r="AL211" s="15">
        <f>IF(AH211="","",IF(AH211&lt;DATADATE,"EXPIRED",IF(AH211-DATADATE&lt;=WARN_EXP,"EXPIRING","")))</f>
        <v/>
      </c>
      <c r="AM211" s="16" t="n"/>
      <c r="AN211" s="16" t="n"/>
      <c r="AO211" s="16" t="n"/>
      <c r="AP211" s="16" t="n"/>
    </row>
    <row r="212">
      <c r="A212" s="15">
        <f>IF(AA212="","",PROJ&amp;"-NOC-"&amp;Z212&amp;"-"&amp;TEXT(AA212,"0000"))</f>
        <v/>
      </c>
      <c r="B212" s="15">
        <f>IF(AA212="","",PROJ)</f>
        <v/>
      </c>
      <c r="C212" s="16" t="n"/>
      <c r="D212" s="16" t="n"/>
      <c r="E212" s="16" t="n"/>
      <c r="F212" s="16" t="n"/>
      <c r="G212" s="16" t="n"/>
      <c r="H212" s="16" t="n"/>
      <c r="I212" s="16" t="n"/>
      <c r="J212" s="16" t="n"/>
      <c r="K212" s="16" t="n"/>
      <c r="L212" s="16" t="n"/>
      <c r="M212" s="16" t="n"/>
      <c r="N212" s="16" t="n"/>
      <c r="O212" s="17" t="n"/>
      <c r="P212" s="16" t="n"/>
      <c r="Q212" s="16" t="n"/>
      <c r="R212" s="16" t="n"/>
      <c r="S212" s="16" t="n"/>
      <c r="T212" s="16" t="n"/>
      <c r="U212" s="16" t="n"/>
      <c r="V212" s="16" t="n"/>
      <c r="W212" s="16" t="n"/>
      <c r="X212" s="16" t="n"/>
      <c r="Y212" s="16" t="n"/>
      <c r="Z212" s="16" t="n"/>
      <c r="AA212" s="16" t="n"/>
      <c r="AB212" s="18" t="n"/>
      <c r="AC212" s="15">
        <f>IF(A212="","",IF(AB212=_xlfn.MAXIFS('Register'!$AB$6:$AB$505,'Register'!$A$6:$A$505,A212),"Y","N"))</f>
        <v/>
      </c>
      <c r="AD212" s="15">
        <f>IF(A212="","",COUNTIF('Register'!$A$6:$A$505,A212))</f>
        <v/>
      </c>
      <c r="AE212" s="17" t="n"/>
      <c r="AF212" s="16" t="n"/>
      <c r="AG212" s="17" t="n"/>
      <c r="AH212" s="17" t="n"/>
      <c r="AI212" s="19">
        <f>IF(AE212="","",AE212+IF(AF212="",TA_NOC,AF212))</f>
        <v/>
      </c>
      <c r="AJ212" s="15">
        <f>IF(AE212="","",IF(AG212="",DATADATE,AG212)-AE212)</f>
        <v/>
      </c>
      <c r="AK212" s="15">
        <f>IF(OR(AI212="",AG212&lt;&gt;""),"",IF(DATADATE&gt;AI212,"OVERDUE",""))</f>
        <v/>
      </c>
      <c r="AL212" s="15">
        <f>IF(AH212="","",IF(AH212&lt;DATADATE,"EXPIRED",IF(AH212-DATADATE&lt;=WARN_EXP,"EXPIRING","")))</f>
        <v/>
      </c>
      <c r="AM212" s="16" t="n"/>
      <c r="AN212" s="16" t="n"/>
      <c r="AO212" s="16" t="n"/>
      <c r="AP212" s="16" t="n"/>
    </row>
    <row r="213">
      <c r="A213" s="15">
        <f>IF(AA213="","",PROJ&amp;"-NOC-"&amp;Z213&amp;"-"&amp;TEXT(AA213,"0000"))</f>
        <v/>
      </c>
      <c r="B213" s="15">
        <f>IF(AA213="","",PROJ)</f>
        <v/>
      </c>
      <c r="C213" s="16" t="n"/>
      <c r="D213" s="16" t="n"/>
      <c r="E213" s="16" t="n"/>
      <c r="F213" s="16" t="n"/>
      <c r="G213" s="16" t="n"/>
      <c r="H213" s="16" t="n"/>
      <c r="I213" s="16" t="n"/>
      <c r="J213" s="16" t="n"/>
      <c r="K213" s="16" t="n"/>
      <c r="L213" s="16" t="n"/>
      <c r="M213" s="16" t="n"/>
      <c r="N213" s="16" t="n"/>
      <c r="O213" s="17" t="n"/>
      <c r="P213" s="16" t="n"/>
      <c r="Q213" s="16" t="n"/>
      <c r="R213" s="16" t="n"/>
      <c r="S213" s="16" t="n"/>
      <c r="T213" s="16" t="n"/>
      <c r="U213" s="16" t="n"/>
      <c r="V213" s="16" t="n"/>
      <c r="W213" s="16" t="n"/>
      <c r="X213" s="16" t="n"/>
      <c r="Y213" s="16" t="n"/>
      <c r="Z213" s="16" t="n"/>
      <c r="AA213" s="16" t="n"/>
      <c r="AB213" s="18" t="n"/>
      <c r="AC213" s="15">
        <f>IF(A213="","",IF(AB213=_xlfn.MAXIFS('Register'!$AB$6:$AB$505,'Register'!$A$6:$A$505,A213),"Y","N"))</f>
        <v/>
      </c>
      <c r="AD213" s="15">
        <f>IF(A213="","",COUNTIF('Register'!$A$6:$A$505,A213))</f>
        <v/>
      </c>
      <c r="AE213" s="17" t="n"/>
      <c r="AF213" s="16" t="n"/>
      <c r="AG213" s="17" t="n"/>
      <c r="AH213" s="17" t="n"/>
      <c r="AI213" s="19">
        <f>IF(AE213="","",AE213+IF(AF213="",TA_NOC,AF213))</f>
        <v/>
      </c>
      <c r="AJ213" s="15">
        <f>IF(AE213="","",IF(AG213="",DATADATE,AG213)-AE213)</f>
        <v/>
      </c>
      <c r="AK213" s="15">
        <f>IF(OR(AI213="",AG213&lt;&gt;""),"",IF(DATADATE&gt;AI213,"OVERDUE",""))</f>
        <v/>
      </c>
      <c r="AL213" s="15">
        <f>IF(AH213="","",IF(AH213&lt;DATADATE,"EXPIRED",IF(AH213-DATADATE&lt;=WARN_EXP,"EXPIRING","")))</f>
        <v/>
      </c>
      <c r="AM213" s="16" t="n"/>
      <c r="AN213" s="16" t="n"/>
      <c r="AO213" s="16" t="n"/>
      <c r="AP213" s="16" t="n"/>
    </row>
    <row r="214">
      <c r="A214" s="15">
        <f>IF(AA214="","",PROJ&amp;"-NOC-"&amp;Z214&amp;"-"&amp;TEXT(AA214,"0000"))</f>
        <v/>
      </c>
      <c r="B214" s="15">
        <f>IF(AA214="","",PROJ)</f>
        <v/>
      </c>
      <c r="C214" s="16" t="n"/>
      <c r="D214" s="16" t="n"/>
      <c r="E214" s="16" t="n"/>
      <c r="F214" s="16" t="n"/>
      <c r="G214" s="16" t="n"/>
      <c r="H214" s="16" t="n"/>
      <c r="I214" s="16" t="n"/>
      <c r="J214" s="16" t="n"/>
      <c r="K214" s="16" t="n"/>
      <c r="L214" s="16" t="n"/>
      <c r="M214" s="16" t="n"/>
      <c r="N214" s="16" t="n"/>
      <c r="O214" s="17" t="n"/>
      <c r="P214" s="16" t="n"/>
      <c r="Q214" s="16" t="n"/>
      <c r="R214" s="16" t="n"/>
      <c r="S214" s="16" t="n"/>
      <c r="T214" s="16" t="n"/>
      <c r="U214" s="16" t="n"/>
      <c r="V214" s="16" t="n"/>
      <c r="W214" s="16" t="n"/>
      <c r="X214" s="16" t="n"/>
      <c r="Y214" s="16" t="n"/>
      <c r="Z214" s="16" t="n"/>
      <c r="AA214" s="16" t="n"/>
      <c r="AB214" s="18" t="n"/>
      <c r="AC214" s="15">
        <f>IF(A214="","",IF(AB214=_xlfn.MAXIFS('Register'!$AB$6:$AB$505,'Register'!$A$6:$A$505,A214),"Y","N"))</f>
        <v/>
      </c>
      <c r="AD214" s="15">
        <f>IF(A214="","",COUNTIF('Register'!$A$6:$A$505,A214))</f>
        <v/>
      </c>
      <c r="AE214" s="17" t="n"/>
      <c r="AF214" s="16" t="n"/>
      <c r="AG214" s="17" t="n"/>
      <c r="AH214" s="17" t="n"/>
      <c r="AI214" s="19">
        <f>IF(AE214="","",AE214+IF(AF214="",TA_NOC,AF214))</f>
        <v/>
      </c>
      <c r="AJ214" s="15">
        <f>IF(AE214="","",IF(AG214="",DATADATE,AG214)-AE214)</f>
        <v/>
      </c>
      <c r="AK214" s="15">
        <f>IF(OR(AI214="",AG214&lt;&gt;""),"",IF(DATADATE&gt;AI214,"OVERDUE",""))</f>
        <v/>
      </c>
      <c r="AL214" s="15">
        <f>IF(AH214="","",IF(AH214&lt;DATADATE,"EXPIRED",IF(AH214-DATADATE&lt;=WARN_EXP,"EXPIRING","")))</f>
        <v/>
      </c>
      <c r="AM214" s="16" t="n"/>
      <c r="AN214" s="16" t="n"/>
      <c r="AO214" s="16" t="n"/>
      <c r="AP214" s="16" t="n"/>
    </row>
    <row r="215">
      <c r="A215" s="15">
        <f>IF(AA215="","",PROJ&amp;"-NOC-"&amp;Z215&amp;"-"&amp;TEXT(AA215,"0000"))</f>
        <v/>
      </c>
      <c r="B215" s="15">
        <f>IF(AA215="","",PROJ)</f>
        <v/>
      </c>
      <c r="C215" s="16" t="n"/>
      <c r="D215" s="16" t="n"/>
      <c r="E215" s="16" t="n"/>
      <c r="F215" s="16" t="n"/>
      <c r="G215" s="16" t="n"/>
      <c r="H215" s="16" t="n"/>
      <c r="I215" s="16" t="n"/>
      <c r="J215" s="16" t="n"/>
      <c r="K215" s="16" t="n"/>
      <c r="L215" s="16" t="n"/>
      <c r="M215" s="16" t="n"/>
      <c r="N215" s="16" t="n"/>
      <c r="O215" s="17" t="n"/>
      <c r="P215" s="16" t="n"/>
      <c r="Q215" s="16" t="n"/>
      <c r="R215" s="16" t="n"/>
      <c r="S215" s="16" t="n"/>
      <c r="T215" s="16" t="n"/>
      <c r="U215" s="16" t="n"/>
      <c r="V215" s="16" t="n"/>
      <c r="W215" s="16" t="n"/>
      <c r="X215" s="16" t="n"/>
      <c r="Y215" s="16" t="n"/>
      <c r="Z215" s="16" t="n"/>
      <c r="AA215" s="16" t="n"/>
      <c r="AB215" s="18" t="n"/>
      <c r="AC215" s="15">
        <f>IF(A215="","",IF(AB215=_xlfn.MAXIFS('Register'!$AB$6:$AB$505,'Register'!$A$6:$A$505,A215),"Y","N"))</f>
        <v/>
      </c>
      <c r="AD215" s="15">
        <f>IF(A215="","",COUNTIF('Register'!$A$6:$A$505,A215))</f>
        <v/>
      </c>
      <c r="AE215" s="17" t="n"/>
      <c r="AF215" s="16" t="n"/>
      <c r="AG215" s="17" t="n"/>
      <c r="AH215" s="17" t="n"/>
      <c r="AI215" s="19">
        <f>IF(AE215="","",AE215+IF(AF215="",TA_NOC,AF215))</f>
        <v/>
      </c>
      <c r="AJ215" s="15">
        <f>IF(AE215="","",IF(AG215="",DATADATE,AG215)-AE215)</f>
        <v/>
      </c>
      <c r="AK215" s="15">
        <f>IF(OR(AI215="",AG215&lt;&gt;""),"",IF(DATADATE&gt;AI215,"OVERDUE",""))</f>
        <v/>
      </c>
      <c r="AL215" s="15">
        <f>IF(AH215="","",IF(AH215&lt;DATADATE,"EXPIRED",IF(AH215-DATADATE&lt;=WARN_EXP,"EXPIRING","")))</f>
        <v/>
      </c>
      <c r="AM215" s="16" t="n"/>
      <c r="AN215" s="16" t="n"/>
      <c r="AO215" s="16" t="n"/>
      <c r="AP215" s="16" t="n"/>
    </row>
    <row r="216">
      <c r="A216" s="15">
        <f>IF(AA216="","",PROJ&amp;"-NOC-"&amp;Z216&amp;"-"&amp;TEXT(AA216,"0000"))</f>
        <v/>
      </c>
      <c r="B216" s="15">
        <f>IF(AA216="","",PROJ)</f>
        <v/>
      </c>
      <c r="C216" s="16" t="n"/>
      <c r="D216" s="16" t="n"/>
      <c r="E216" s="16" t="n"/>
      <c r="F216" s="16" t="n"/>
      <c r="G216" s="16" t="n"/>
      <c r="H216" s="16" t="n"/>
      <c r="I216" s="16" t="n"/>
      <c r="J216" s="16" t="n"/>
      <c r="K216" s="16" t="n"/>
      <c r="L216" s="16" t="n"/>
      <c r="M216" s="16" t="n"/>
      <c r="N216" s="16" t="n"/>
      <c r="O216" s="17" t="n"/>
      <c r="P216" s="16" t="n"/>
      <c r="Q216" s="16" t="n"/>
      <c r="R216" s="16" t="n"/>
      <c r="S216" s="16" t="n"/>
      <c r="T216" s="16" t="n"/>
      <c r="U216" s="16" t="n"/>
      <c r="V216" s="16" t="n"/>
      <c r="W216" s="16" t="n"/>
      <c r="X216" s="16" t="n"/>
      <c r="Y216" s="16" t="n"/>
      <c r="Z216" s="16" t="n"/>
      <c r="AA216" s="16" t="n"/>
      <c r="AB216" s="18" t="n"/>
      <c r="AC216" s="15">
        <f>IF(A216="","",IF(AB216=_xlfn.MAXIFS('Register'!$AB$6:$AB$505,'Register'!$A$6:$A$505,A216),"Y","N"))</f>
        <v/>
      </c>
      <c r="AD216" s="15">
        <f>IF(A216="","",COUNTIF('Register'!$A$6:$A$505,A216))</f>
        <v/>
      </c>
      <c r="AE216" s="17" t="n"/>
      <c r="AF216" s="16" t="n"/>
      <c r="AG216" s="17" t="n"/>
      <c r="AH216" s="17" t="n"/>
      <c r="AI216" s="19">
        <f>IF(AE216="","",AE216+IF(AF216="",TA_NOC,AF216))</f>
        <v/>
      </c>
      <c r="AJ216" s="15">
        <f>IF(AE216="","",IF(AG216="",DATADATE,AG216)-AE216)</f>
        <v/>
      </c>
      <c r="AK216" s="15">
        <f>IF(OR(AI216="",AG216&lt;&gt;""),"",IF(DATADATE&gt;AI216,"OVERDUE",""))</f>
        <v/>
      </c>
      <c r="AL216" s="15">
        <f>IF(AH216="","",IF(AH216&lt;DATADATE,"EXPIRED",IF(AH216-DATADATE&lt;=WARN_EXP,"EXPIRING","")))</f>
        <v/>
      </c>
      <c r="AM216" s="16" t="n"/>
      <c r="AN216" s="16" t="n"/>
      <c r="AO216" s="16" t="n"/>
      <c r="AP216" s="16" t="n"/>
    </row>
    <row r="217">
      <c r="A217" s="15">
        <f>IF(AA217="","",PROJ&amp;"-NOC-"&amp;Z217&amp;"-"&amp;TEXT(AA217,"0000"))</f>
        <v/>
      </c>
      <c r="B217" s="15">
        <f>IF(AA217="","",PROJ)</f>
        <v/>
      </c>
      <c r="C217" s="16" t="n"/>
      <c r="D217" s="16" t="n"/>
      <c r="E217" s="16" t="n"/>
      <c r="F217" s="16" t="n"/>
      <c r="G217" s="16" t="n"/>
      <c r="H217" s="16" t="n"/>
      <c r="I217" s="16" t="n"/>
      <c r="J217" s="16" t="n"/>
      <c r="K217" s="16" t="n"/>
      <c r="L217" s="16" t="n"/>
      <c r="M217" s="16" t="n"/>
      <c r="N217" s="16" t="n"/>
      <c r="O217" s="17" t="n"/>
      <c r="P217" s="16" t="n"/>
      <c r="Q217" s="16" t="n"/>
      <c r="R217" s="16" t="n"/>
      <c r="S217" s="16" t="n"/>
      <c r="T217" s="16" t="n"/>
      <c r="U217" s="16" t="n"/>
      <c r="V217" s="16" t="n"/>
      <c r="W217" s="16" t="n"/>
      <c r="X217" s="16" t="n"/>
      <c r="Y217" s="16" t="n"/>
      <c r="Z217" s="16" t="n"/>
      <c r="AA217" s="16" t="n"/>
      <c r="AB217" s="18" t="n"/>
      <c r="AC217" s="15">
        <f>IF(A217="","",IF(AB217=_xlfn.MAXIFS('Register'!$AB$6:$AB$505,'Register'!$A$6:$A$505,A217),"Y","N"))</f>
        <v/>
      </c>
      <c r="AD217" s="15">
        <f>IF(A217="","",COUNTIF('Register'!$A$6:$A$505,A217))</f>
        <v/>
      </c>
      <c r="AE217" s="17" t="n"/>
      <c r="AF217" s="16" t="n"/>
      <c r="AG217" s="17" t="n"/>
      <c r="AH217" s="17" t="n"/>
      <c r="AI217" s="19">
        <f>IF(AE217="","",AE217+IF(AF217="",TA_NOC,AF217))</f>
        <v/>
      </c>
      <c r="AJ217" s="15">
        <f>IF(AE217="","",IF(AG217="",DATADATE,AG217)-AE217)</f>
        <v/>
      </c>
      <c r="AK217" s="15">
        <f>IF(OR(AI217="",AG217&lt;&gt;""),"",IF(DATADATE&gt;AI217,"OVERDUE",""))</f>
        <v/>
      </c>
      <c r="AL217" s="15">
        <f>IF(AH217="","",IF(AH217&lt;DATADATE,"EXPIRED",IF(AH217-DATADATE&lt;=WARN_EXP,"EXPIRING","")))</f>
        <v/>
      </c>
      <c r="AM217" s="16" t="n"/>
      <c r="AN217" s="16" t="n"/>
      <c r="AO217" s="16" t="n"/>
      <c r="AP217" s="16" t="n"/>
    </row>
    <row r="218">
      <c r="A218" s="15">
        <f>IF(AA218="","",PROJ&amp;"-NOC-"&amp;Z218&amp;"-"&amp;TEXT(AA218,"0000"))</f>
        <v/>
      </c>
      <c r="B218" s="15">
        <f>IF(AA218="","",PROJ)</f>
        <v/>
      </c>
      <c r="C218" s="16" t="n"/>
      <c r="D218" s="16" t="n"/>
      <c r="E218" s="16" t="n"/>
      <c r="F218" s="16" t="n"/>
      <c r="G218" s="16" t="n"/>
      <c r="H218" s="16" t="n"/>
      <c r="I218" s="16" t="n"/>
      <c r="J218" s="16" t="n"/>
      <c r="K218" s="16" t="n"/>
      <c r="L218" s="16" t="n"/>
      <c r="M218" s="16" t="n"/>
      <c r="N218" s="16" t="n"/>
      <c r="O218" s="17" t="n"/>
      <c r="P218" s="16" t="n"/>
      <c r="Q218" s="16" t="n"/>
      <c r="R218" s="16" t="n"/>
      <c r="S218" s="16" t="n"/>
      <c r="T218" s="16" t="n"/>
      <c r="U218" s="16" t="n"/>
      <c r="V218" s="16" t="n"/>
      <c r="W218" s="16" t="n"/>
      <c r="X218" s="16" t="n"/>
      <c r="Y218" s="16" t="n"/>
      <c r="Z218" s="16" t="n"/>
      <c r="AA218" s="16" t="n"/>
      <c r="AB218" s="18" t="n"/>
      <c r="AC218" s="15">
        <f>IF(A218="","",IF(AB218=_xlfn.MAXIFS('Register'!$AB$6:$AB$505,'Register'!$A$6:$A$505,A218),"Y","N"))</f>
        <v/>
      </c>
      <c r="AD218" s="15">
        <f>IF(A218="","",COUNTIF('Register'!$A$6:$A$505,A218))</f>
        <v/>
      </c>
      <c r="AE218" s="17" t="n"/>
      <c r="AF218" s="16" t="n"/>
      <c r="AG218" s="17" t="n"/>
      <c r="AH218" s="17" t="n"/>
      <c r="AI218" s="19">
        <f>IF(AE218="","",AE218+IF(AF218="",TA_NOC,AF218))</f>
        <v/>
      </c>
      <c r="AJ218" s="15">
        <f>IF(AE218="","",IF(AG218="",DATADATE,AG218)-AE218)</f>
        <v/>
      </c>
      <c r="AK218" s="15">
        <f>IF(OR(AI218="",AG218&lt;&gt;""),"",IF(DATADATE&gt;AI218,"OVERDUE",""))</f>
        <v/>
      </c>
      <c r="AL218" s="15">
        <f>IF(AH218="","",IF(AH218&lt;DATADATE,"EXPIRED",IF(AH218-DATADATE&lt;=WARN_EXP,"EXPIRING","")))</f>
        <v/>
      </c>
      <c r="AM218" s="16" t="n"/>
      <c r="AN218" s="16" t="n"/>
      <c r="AO218" s="16" t="n"/>
      <c r="AP218" s="16" t="n"/>
    </row>
    <row r="219">
      <c r="A219" s="15">
        <f>IF(AA219="","",PROJ&amp;"-NOC-"&amp;Z219&amp;"-"&amp;TEXT(AA219,"0000"))</f>
        <v/>
      </c>
      <c r="B219" s="15">
        <f>IF(AA219="","",PROJ)</f>
        <v/>
      </c>
      <c r="C219" s="16" t="n"/>
      <c r="D219" s="16" t="n"/>
      <c r="E219" s="16" t="n"/>
      <c r="F219" s="16" t="n"/>
      <c r="G219" s="16" t="n"/>
      <c r="H219" s="16" t="n"/>
      <c r="I219" s="16" t="n"/>
      <c r="J219" s="16" t="n"/>
      <c r="K219" s="16" t="n"/>
      <c r="L219" s="16" t="n"/>
      <c r="M219" s="16" t="n"/>
      <c r="N219" s="16" t="n"/>
      <c r="O219" s="17" t="n"/>
      <c r="P219" s="16" t="n"/>
      <c r="Q219" s="16" t="n"/>
      <c r="R219" s="16" t="n"/>
      <c r="S219" s="16" t="n"/>
      <c r="T219" s="16" t="n"/>
      <c r="U219" s="16" t="n"/>
      <c r="V219" s="16" t="n"/>
      <c r="W219" s="16" t="n"/>
      <c r="X219" s="16" t="n"/>
      <c r="Y219" s="16" t="n"/>
      <c r="Z219" s="16" t="n"/>
      <c r="AA219" s="16" t="n"/>
      <c r="AB219" s="18" t="n"/>
      <c r="AC219" s="15">
        <f>IF(A219="","",IF(AB219=_xlfn.MAXIFS('Register'!$AB$6:$AB$505,'Register'!$A$6:$A$505,A219),"Y","N"))</f>
        <v/>
      </c>
      <c r="AD219" s="15">
        <f>IF(A219="","",COUNTIF('Register'!$A$6:$A$505,A219))</f>
        <v/>
      </c>
      <c r="AE219" s="17" t="n"/>
      <c r="AF219" s="16" t="n"/>
      <c r="AG219" s="17" t="n"/>
      <c r="AH219" s="17" t="n"/>
      <c r="AI219" s="19">
        <f>IF(AE219="","",AE219+IF(AF219="",TA_NOC,AF219))</f>
        <v/>
      </c>
      <c r="AJ219" s="15">
        <f>IF(AE219="","",IF(AG219="",DATADATE,AG219)-AE219)</f>
        <v/>
      </c>
      <c r="AK219" s="15">
        <f>IF(OR(AI219="",AG219&lt;&gt;""),"",IF(DATADATE&gt;AI219,"OVERDUE",""))</f>
        <v/>
      </c>
      <c r="AL219" s="15">
        <f>IF(AH219="","",IF(AH219&lt;DATADATE,"EXPIRED",IF(AH219-DATADATE&lt;=WARN_EXP,"EXPIRING","")))</f>
        <v/>
      </c>
      <c r="AM219" s="16" t="n"/>
      <c r="AN219" s="16" t="n"/>
      <c r="AO219" s="16" t="n"/>
      <c r="AP219" s="16" t="n"/>
    </row>
    <row r="220">
      <c r="A220" s="15">
        <f>IF(AA220="","",PROJ&amp;"-NOC-"&amp;Z220&amp;"-"&amp;TEXT(AA220,"0000"))</f>
        <v/>
      </c>
      <c r="B220" s="15">
        <f>IF(AA220="","",PROJ)</f>
        <v/>
      </c>
      <c r="C220" s="16" t="n"/>
      <c r="D220" s="16" t="n"/>
      <c r="E220" s="16" t="n"/>
      <c r="F220" s="16" t="n"/>
      <c r="G220" s="16" t="n"/>
      <c r="H220" s="16" t="n"/>
      <c r="I220" s="16" t="n"/>
      <c r="J220" s="16" t="n"/>
      <c r="K220" s="16" t="n"/>
      <c r="L220" s="16" t="n"/>
      <c r="M220" s="16" t="n"/>
      <c r="N220" s="16" t="n"/>
      <c r="O220" s="17" t="n"/>
      <c r="P220" s="16" t="n"/>
      <c r="Q220" s="16" t="n"/>
      <c r="R220" s="16" t="n"/>
      <c r="S220" s="16" t="n"/>
      <c r="T220" s="16" t="n"/>
      <c r="U220" s="16" t="n"/>
      <c r="V220" s="16" t="n"/>
      <c r="W220" s="16" t="n"/>
      <c r="X220" s="16" t="n"/>
      <c r="Y220" s="16" t="n"/>
      <c r="Z220" s="16" t="n"/>
      <c r="AA220" s="16" t="n"/>
      <c r="AB220" s="18" t="n"/>
      <c r="AC220" s="15">
        <f>IF(A220="","",IF(AB220=_xlfn.MAXIFS('Register'!$AB$6:$AB$505,'Register'!$A$6:$A$505,A220),"Y","N"))</f>
        <v/>
      </c>
      <c r="AD220" s="15">
        <f>IF(A220="","",COUNTIF('Register'!$A$6:$A$505,A220))</f>
        <v/>
      </c>
      <c r="AE220" s="17" t="n"/>
      <c r="AF220" s="16" t="n"/>
      <c r="AG220" s="17" t="n"/>
      <c r="AH220" s="17" t="n"/>
      <c r="AI220" s="19">
        <f>IF(AE220="","",AE220+IF(AF220="",TA_NOC,AF220))</f>
        <v/>
      </c>
      <c r="AJ220" s="15">
        <f>IF(AE220="","",IF(AG220="",DATADATE,AG220)-AE220)</f>
        <v/>
      </c>
      <c r="AK220" s="15">
        <f>IF(OR(AI220="",AG220&lt;&gt;""),"",IF(DATADATE&gt;AI220,"OVERDUE",""))</f>
        <v/>
      </c>
      <c r="AL220" s="15">
        <f>IF(AH220="","",IF(AH220&lt;DATADATE,"EXPIRED",IF(AH220-DATADATE&lt;=WARN_EXP,"EXPIRING","")))</f>
        <v/>
      </c>
      <c r="AM220" s="16" t="n"/>
      <c r="AN220" s="16" t="n"/>
      <c r="AO220" s="16" t="n"/>
      <c r="AP220" s="16" t="n"/>
    </row>
    <row r="221">
      <c r="A221" s="15">
        <f>IF(AA221="","",PROJ&amp;"-NOC-"&amp;Z221&amp;"-"&amp;TEXT(AA221,"0000"))</f>
        <v/>
      </c>
      <c r="B221" s="15">
        <f>IF(AA221="","",PROJ)</f>
        <v/>
      </c>
      <c r="C221" s="16" t="n"/>
      <c r="D221" s="16" t="n"/>
      <c r="E221" s="16" t="n"/>
      <c r="F221" s="16" t="n"/>
      <c r="G221" s="16" t="n"/>
      <c r="H221" s="16" t="n"/>
      <c r="I221" s="16" t="n"/>
      <c r="J221" s="16" t="n"/>
      <c r="K221" s="16" t="n"/>
      <c r="L221" s="16" t="n"/>
      <c r="M221" s="16" t="n"/>
      <c r="N221" s="16" t="n"/>
      <c r="O221" s="17" t="n"/>
      <c r="P221" s="16" t="n"/>
      <c r="Q221" s="16" t="n"/>
      <c r="R221" s="16" t="n"/>
      <c r="S221" s="16" t="n"/>
      <c r="T221" s="16" t="n"/>
      <c r="U221" s="16" t="n"/>
      <c r="V221" s="16" t="n"/>
      <c r="W221" s="16" t="n"/>
      <c r="X221" s="16" t="n"/>
      <c r="Y221" s="16" t="n"/>
      <c r="Z221" s="16" t="n"/>
      <c r="AA221" s="16" t="n"/>
      <c r="AB221" s="18" t="n"/>
      <c r="AC221" s="15">
        <f>IF(A221="","",IF(AB221=_xlfn.MAXIFS('Register'!$AB$6:$AB$505,'Register'!$A$6:$A$505,A221),"Y","N"))</f>
        <v/>
      </c>
      <c r="AD221" s="15">
        <f>IF(A221="","",COUNTIF('Register'!$A$6:$A$505,A221))</f>
        <v/>
      </c>
      <c r="AE221" s="17" t="n"/>
      <c r="AF221" s="16" t="n"/>
      <c r="AG221" s="17" t="n"/>
      <c r="AH221" s="17" t="n"/>
      <c r="AI221" s="19">
        <f>IF(AE221="","",AE221+IF(AF221="",TA_NOC,AF221))</f>
        <v/>
      </c>
      <c r="AJ221" s="15">
        <f>IF(AE221="","",IF(AG221="",DATADATE,AG221)-AE221)</f>
        <v/>
      </c>
      <c r="AK221" s="15">
        <f>IF(OR(AI221="",AG221&lt;&gt;""),"",IF(DATADATE&gt;AI221,"OVERDUE",""))</f>
        <v/>
      </c>
      <c r="AL221" s="15">
        <f>IF(AH221="","",IF(AH221&lt;DATADATE,"EXPIRED",IF(AH221-DATADATE&lt;=WARN_EXP,"EXPIRING","")))</f>
        <v/>
      </c>
      <c r="AM221" s="16" t="n"/>
      <c r="AN221" s="16" t="n"/>
      <c r="AO221" s="16" t="n"/>
      <c r="AP221" s="16" t="n"/>
    </row>
    <row r="222">
      <c r="A222" s="15">
        <f>IF(AA222="","",PROJ&amp;"-NOC-"&amp;Z222&amp;"-"&amp;TEXT(AA222,"0000"))</f>
        <v/>
      </c>
      <c r="B222" s="15">
        <f>IF(AA222="","",PROJ)</f>
        <v/>
      </c>
      <c r="C222" s="16" t="n"/>
      <c r="D222" s="16" t="n"/>
      <c r="E222" s="16" t="n"/>
      <c r="F222" s="16" t="n"/>
      <c r="G222" s="16" t="n"/>
      <c r="H222" s="16" t="n"/>
      <c r="I222" s="16" t="n"/>
      <c r="J222" s="16" t="n"/>
      <c r="K222" s="16" t="n"/>
      <c r="L222" s="16" t="n"/>
      <c r="M222" s="16" t="n"/>
      <c r="N222" s="16" t="n"/>
      <c r="O222" s="17" t="n"/>
      <c r="P222" s="16" t="n"/>
      <c r="Q222" s="16" t="n"/>
      <c r="R222" s="16" t="n"/>
      <c r="S222" s="16" t="n"/>
      <c r="T222" s="16" t="n"/>
      <c r="U222" s="16" t="n"/>
      <c r="V222" s="16" t="n"/>
      <c r="W222" s="16" t="n"/>
      <c r="X222" s="16" t="n"/>
      <c r="Y222" s="16" t="n"/>
      <c r="Z222" s="16" t="n"/>
      <c r="AA222" s="16" t="n"/>
      <c r="AB222" s="18" t="n"/>
      <c r="AC222" s="15">
        <f>IF(A222="","",IF(AB222=_xlfn.MAXIFS('Register'!$AB$6:$AB$505,'Register'!$A$6:$A$505,A222),"Y","N"))</f>
        <v/>
      </c>
      <c r="AD222" s="15">
        <f>IF(A222="","",COUNTIF('Register'!$A$6:$A$505,A222))</f>
        <v/>
      </c>
      <c r="AE222" s="17" t="n"/>
      <c r="AF222" s="16" t="n"/>
      <c r="AG222" s="17" t="n"/>
      <c r="AH222" s="17" t="n"/>
      <c r="AI222" s="19">
        <f>IF(AE222="","",AE222+IF(AF222="",TA_NOC,AF222))</f>
        <v/>
      </c>
      <c r="AJ222" s="15">
        <f>IF(AE222="","",IF(AG222="",DATADATE,AG222)-AE222)</f>
        <v/>
      </c>
      <c r="AK222" s="15">
        <f>IF(OR(AI222="",AG222&lt;&gt;""),"",IF(DATADATE&gt;AI222,"OVERDUE",""))</f>
        <v/>
      </c>
      <c r="AL222" s="15">
        <f>IF(AH222="","",IF(AH222&lt;DATADATE,"EXPIRED",IF(AH222-DATADATE&lt;=WARN_EXP,"EXPIRING","")))</f>
        <v/>
      </c>
      <c r="AM222" s="16" t="n"/>
      <c r="AN222" s="16" t="n"/>
      <c r="AO222" s="16" t="n"/>
      <c r="AP222" s="16" t="n"/>
    </row>
    <row r="223">
      <c r="A223" s="15">
        <f>IF(AA223="","",PROJ&amp;"-NOC-"&amp;Z223&amp;"-"&amp;TEXT(AA223,"0000"))</f>
        <v/>
      </c>
      <c r="B223" s="15">
        <f>IF(AA223="","",PROJ)</f>
        <v/>
      </c>
      <c r="C223" s="16" t="n"/>
      <c r="D223" s="16" t="n"/>
      <c r="E223" s="16" t="n"/>
      <c r="F223" s="16" t="n"/>
      <c r="G223" s="16" t="n"/>
      <c r="H223" s="16" t="n"/>
      <c r="I223" s="16" t="n"/>
      <c r="J223" s="16" t="n"/>
      <c r="K223" s="16" t="n"/>
      <c r="L223" s="16" t="n"/>
      <c r="M223" s="16" t="n"/>
      <c r="N223" s="16" t="n"/>
      <c r="O223" s="17" t="n"/>
      <c r="P223" s="16" t="n"/>
      <c r="Q223" s="16" t="n"/>
      <c r="R223" s="16" t="n"/>
      <c r="S223" s="16" t="n"/>
      <c r="T223" s="16" t="n"/>
      <c r="U223" s="16" t="n"/>
      <c r="V223" s="16" t="n"/>
      <c r="W223" s="16" t="n"/>
      <c r="X223" s="16" t="n"/>
      <c r="Y223" s="16" t="n"/>
      <c r="Z223" s="16" t="n"/>
      <c r="AA223" s="16" t="n"/>
      <c r="AB223" s="18" t="n"/>
      <c r="AC223" s="15">
        <f>IF(A223="","",IF(AB223=_xlfn.MAXIFS('Register'!$AB$6:$AB$505,'Register'!$A$6:$A$505,A223),"Y","N"))</f>
        <v/>
      </c>
      <c r="AD223" s="15">
        <f>IF(A223="","",COUNTIF('Register'!$A$6:$A$505,A223))</f>
        <v/>
      </c>
      <c r="AE223" s="17" t="n"/>
      <c r="AF223" s="16" t="n"/>
      <c r="AG223" s="17" t="n"/>
      <c r="AH223" s="17" t="n"/>
      <c r="AI223" s="19">
        <f>IF(AE223="","",AE223+IF(AF223="",TA_NOC,AF223))</f>
        <v/>
      </c>
      <c r="AJ223" s="15">
        <f>IF(AE223="","",IF(AG223="",DATADATE,AG223)-AE223)</f>
        <v/>
      </c>
      <c r="AK223" s="15">
        <f>IF(OR(AI223="",AG223&lt;&gt;""),"",IF(DATADATE&gt;AI223,"OVERDUE",""))</f>
        <v/>
      </c>
      <c r="AL223" s="15">
        <f>IF(AH223="","",IF(AH223&lt;DATADATE,"EXPIRED",IF(AH223-DATADATE&lt;=WARN_EXP,"EXPIRING","")))</f>
        <v/>
      </c>
      <c r="AM223" s="16" t="n"/>
      <c r="AN223" s="16" t="n"/>
      <c r="AO223" s="16" t="n"/>
      <c r="AP223" s="16" t="n"/>
    </row>
    <row r="224">
      <c r="A224" s="15">
        <f>IF(AA224="","",PROJ&amp;"-NOC-"&amp;Z224&amp;"-"&amp;TEXT(AA224,"0000"))</f>
        <v/>
      </c>
      <c r="B224" s="15">
        <f>IF(AA224="","",PROJ)</f>
        <v/>
      </c>
      <c r="C224" s="16" t="n"/>
      <c r="D224" s="16" t="n"/>
      <c r="E224" s="16" t="n"/>
      <c r="F224" s="16" t="n"/>
      <c r="G224" s="16" t="n"/>
      <c r="H224" s="16" t="n"/>
      <c r="I224" s="16" t="n"/>
      <c r="J224" s="16" t="n"/>
      <c r="K224" s="16" t="n"/>
      <c r="L224" s="16" t="n"/>
      <c r="M224" s="16" t="n"/>
      <c r="N224" s="16" t="n"/>
      <c r="O224" s="17" t="n"/>
      <c r="P224" s="16" t="n"/>
      <c r="Q224" s="16" t="n"/>
      <c r="R224" s="16" t="n"/>
      <c r="S224" s="16" t="n"/>
      <c r="T224" s="16" t="n"/>
      <c r="U224" s="16" t="n"/>
      <c r="V224" s="16" t="n"/>
      <c r="W224" s="16" t="n"/>
      <c r="X224" s="16" t="n"/>
      <c r="Y224" s="16" t="n"/>
      <c r="Z224" s="16" t="n"/>
      <c r="AA224" s="16" t="n"/>
      <c r="AB224" s="18" t="n"/>
      <c r="AC224" s="15">
        <f>IF(A224="","",IF(AB224=_xlfn.MAXIFS('Register'!$AB$6:$AB$505,'Register'!$A$6:$A$505,A224),"Y","N"))</f>
        <v/>
      </c>
      <c r="AD224" s="15">
        <f>IF(A224="","",COUNTIF('Register'!$A$6:$A$505,A224))</f>
        <v/>
      </c>
      <c r="AE224" s="17" t="n"/>
      <c r="AF224" s="16" t="n"/>
      <c r="AG224" s="17" t="n"/>
      <c r="AH224" s="17" t="n"/>
      <c r="AI224" s="19">
        <f>IF(AE224="","",AE224+IF(AF224="",TA_NOC,AF224))</f>
        <v/>
      </c>
      <c r="AJ224" s="15">
        <f>IF(AE224="","",IF(AG224="",DATADATE,AG224)-AE224)</f>
        <v/>
      </c>
      <c r="AK224" s="15">
        <f>IF(OR(AI224="",AG224&lt;&gt;""),"",IF(DATADATE&gt;AI224,"OVERDUE",""))</f>
        <v/>
      </c>
      <c r="AL224" s="15">
        <f>IF(AH224="","",IF(AH224&lt;DATADATE,"EXPIRED",IF(AH224-DATADATE&lt;=WARN_EXP,"EXPIRING","")))</f>
        <v/>
      </c>
      <c r="AM224" s="16" t="n"/>
      <c r="AN224" s="16" t="n"/>
      <c r="AO224" s="16" t="n"/>
      <c r="AP224" s="16" t="n"/>
    </row>
    <row r="225">
      <c r="A225" s="15">
        <f>IF(AA225="","",PROJ&amp;"-NOC-"&amp;Z225&amp;"-"&amp;TEXT(AA225,"0000"))</f>
        <v/>
      </c>
      <c r="B225" s="15">
        <f>IF(AA225="","",PROJ)</f>
        <v/>
      </c>
      <c r="C225" s="16" t="n"/>
      <c r="D225" s="16" t="n"/>
      <c r="E225" s="16" t="n"/>
      <c r="F225" s="16" t="n"/>
      <c r="G225" s="16" t="n"/>
      <c r="H225" s="16" t="n"/>
      <c r="I225" s="16" t="n"/>
      <c r="J225" s="16" t="n"/>
      <c r="K225" s="16" t="n"/>
      <c r="L225" s="16" t="n"/>
      <c r="M225" s="16" t="n"/>
      <c r="N225" s="16" t="n"/>
      <c r="O225" s="17" t="n"/>
      <c r="P225" s="16" t="n"/>
      <c r="Q225" s="16" t="n"/>
      <c r="R225" s="16" t="n"/>
      <c r="S225" s="16" t="n"/>
      <c r="T225" s="16" t="n"/>
      <c r="U225" s="16" t="n"/>
      <c r="V225" s="16" t="n"/>
      <c r="W225" s="16" t="n"/>
      <c r="X225" s="16" t="n"/>
      <c r="Y225" s="16" t="n"/>
      <c r="Z225" s="16" t="n"/>
      <c r="AA225" s="16" t="n"/>
      <c r="AB225" s="18" t="n"/>
      <c r="AC225" s="15">
        <f>IF(A225="","",IF(AB225=_xlfn.MAXIFS('Register'!$AB$6:$AB$505,'Register'!$A$6:$A$505,A225),"Y","N"))</f>
        <v/>
      </c>
      <c r="AD225" s="15">
        <f>IF(A225="","",COUNTIF('Register'!$A$6:$A$505,A225))</f>
        <v/>
      </c>
      <c r="AE225" s="17" t="n"/>
      <c r="AF225" s="16" t="n"/>
      <c r="AG225" s="17" t="n"/>
      <c r="AH225" s="17" t="n"/>
      <c r="AI225" s="19">
        <f>IF(AE225="","",AE225+IF(AF225="",TA_NOC,AF225))</f>
        <v/>
      </c>
      <c r="AJ225" s="15">
        <f>IF(AE225="","",IF(AG225="",DATADATE,AG225)-AE225)</f>
        <v/>
      </c>
      <c r="AK225" s="15">
        <f>IF(OR(AI225="",AG225&lt;&gt;""),"",IF(DATADATE&gt;AI225,"OVERDUE",""))</f>
        <v/>
      </c>
      <c r="AL225" s="15">
        <f>IF(AH225="","",IF(AH225&lt;DATADATE,"EXPIRED",IF(AH225-DATADATE&lt;=WARN_EXP,"EXPIRING","")))</f>
        <v/>
      </c>
      <c r="AM225" s="16" t="n"/>
      <c r="AN225" s="16" t="n"/>
      <c r="AO225" s="16" t="n"/>
      <c r="AP225" s="16" t="n"/>
    </row>
    <row r="226">
      <c r="A226" s="15">
        <f>IF(AA226="","",PROJ&amp;"-NOC-"&amp;Z226&amp;"-"&amp;TEXT(AA226,"0000"))</f>
        <v/>
      </c>
      <c r="B226" s="15">
        <f>IF(AA226="","",PROJ)</f>
        <v/>
      </c>
      <c r="C226" s="16" t="n"/>
      <c r="D226" s="16" t="n"/>
      <c r="E226" s="16" t="n"/>
      <c r="F226" s="16" t="n"/>
      <c r="G226" s="16" t="n"/>
      <c r="H226" s="16" t="n"/>
      <c r="I226" s="16" t="n"/>
      <c r="J226" s="16" t="n"/>
      <c r="K226" s="16" t="n"/>
      <c r="L226" s="16" t="n"/>
      <c r="M226" s="16" t="n"/>
      <c r="N226" s="16" t="n"/>
      <c r="O226" s="17" t="n"/>
      <c r="P226" s="16" t="n"/>
      <c r="Q226" s="16" t="n"/>
      <c r="R226" s="16" t="n"/>
      <c r="S226" s="16" t="n"/>
      <c r="T226" s="16" t="n"/>
      <c r="U226" s="16" t="n"/>
      <c r="V226" s="16" t="n"/>
      <c r="W226" s="16" t="n"/>
      <c r="X226" s="16" t="n"/>
      <c r="Y226" s="16" t="n"/>
      <c r="Z226" s="16" t="n"/>
      <c r="AA226" s="16" t="n"/>
      <c r="AB226" s="18" t="n"/>
      <c r="AC226" s="15">
        <f>IF(A226="","",IF(AB226=_xlfn.MAXIFS('Register'!$AB$6:$AB$505,'Register'!$A$6:$A$505,A226),"Y","N"))</f>
        <v/>
      </c>
      <c r="AD226" s="15">
        <f>IF(A226="","",COUNTIF('Register'!$A$6:$A$505,A226))</f>
        <v/>
      </c>
      <c r="AE226" s="17" t="n"/>
      <c r="AF226" s="16" t="n"/>
      <c r="AG226" s="17" t="n"/>
      <c r="AH226" s="17" t="n"/>
      <c r="AI226" s="19">
        <f>IF(AE226="","",AE226+IF(AF226="",TA_NOC,AF226))</f>
        <v/>
      </c>
      <c r="AJ226" s="15">
        <f>IF(AE226="","",IF(AG226="",DATADATE,AG226)-AE226)</f>
        <v/>
      </c>
      <c r="AK226" s="15">
        <f>IF(OR(AI226="",AG226&lt;&gt;""),"",IF(DATADATE&gt;AI226,"OVERDUE",""))</f>
        <v/>
      </c>
      <c r="AL226" s="15">
        <f>IF(AH226="","",IF(AH226&lt;DATADATE,"EXPIRED",IF(AH226-DATADATE&lt;=WARN_EXP,"EXPIRING","")))</f>
        <v/>
      </c>
      <c r="AM226" s="16" t="n"/>
      <c r="AN226" s="16" t="n"/>
      <c r="AO226" s="16" t="n"/>
      <c r="AP226" s="16" t="n"/>
    </row>
    <row r="227">
      <c r="A227" s="15">
        <f>IF(AA227="","",PROJ&amp;"-NOC-"&amp;Z227&amp;"-"&amp;TEXT(AA227,"0000"))</f>
        <v/>
      </c>
      <c r="B227" s="15">
        <f>IF(AA227="","",PROJ)</f>
        <v/>
      </c>
      <c r="C227" s="16" t="n"/>
      <c r="D227" s="16" t="n"/>
      <c r="E227" s="16" t="n"/>
      <c r="F227" s="16" t="n"/>
      <c r="G227" s="16" t="n"/>
      <c r="H227" s="16" t="n"/>
      <c r="I227" s="16" t="n"/>
      <c r="J227" s="16" t="n"/>
      <c r="K227" s="16" t="n"/>
      <c r="L227" s="16" t="n"/>
      <c r="M227" s="16" t="n"/>
      <c r="N227" s="16" t="n"/>
      <c r="O227" s="17" t="n"/>
      <c r="P227" s="16" t="n"/>
      <c r="Q227" s="16" t="n"/>
      <c r="R227" s="16" t="n"/>
      <c r="S227" s="16" t="n"/>
      <c r="T227" s="16" t="n"/>
      <c r="U227" s="16" t="n"/>
      <c r="V227" s="16" t="n"/>
      <c r="W227" s="16" t="n"/>
      <c r="X227" s="16" t="n"/>
      <c r="Y227" s="16" t="n"/>
      <c r="Z227" s="16" t="n"/>
      <c r="AA227" s="16" t="n"/>
      <c r="AB227" s="18" t="n"/>
      <c r="AC227" s="15">
        <f>IF(A227="","",IF(AB227=_xlfn.MAXIFS('Register'!$AB$6:$AB$505,'Register'!$A$6:$A$505,A227),"Y","N"))</f>
        <v/>
      </c>
      <c r="AD227" s="15">
        <f>IF(A227="","",COUNTIF('Register'!$A$6:$A$505,A227))</f>
        <v/>
      </c>
      <c r="AE227" s="17" t="n"/>
      <c r="AF227" s="16" t="n"/>
      <c r="AG227" s="17" t="n"/>
      <c r="AH227" s="17" t="n"/>
      <c r="AI227" s="19">
        <f>IF(AE227="","",AE227+IF(AF227="",TA_NOC,AF227))</f>
        <v/>
      </c>
      <c r="AJ227" s="15">
        <f>IF(AE227="","",IF(AG227="",DATADATE,AG227)-AE227)</f>
        <v/>
      </c>
      <c r="AK227" s="15">
        <f>IF(OR(AI227="",AG227&lt;&gt;""),"",IF(DATADATE&gt;AI227,"OVERDUE",""))</f>
        <v/>
      </c>
      <c r="AL227" s="15">
        <f>IF(AH227="","",IF(AH227&lt;DATADATE,"EXPIRED",IF(AH227-DATADATE&lt;=WARN_EXP,"EXPIRING","")))</f>
        <v/>
      </c>
      <c r="AM227" s="16" t="n"/>
      <c r="AN227" s="16" t="n"/>
      <c r="AO227" s="16" t="n"/>
      <c r="AP227" s="16" t="n"/>
    </row>
    <row r="228">
      <c r="A228" s="15">
        <f>IF(AA228="","",PROJ&amp;"-NOC-"&amp;Z228&amp;"-"&amp;TEXT(AA228,"0000"))</f>
        <v/>
      </c>
      <c r="B228" s="15">
        <f>IF(AA228="","",PROJ)</f>
        <v/>
      </c>
      <c r="C228" s="16" t="n"/>
      <c r="D228" s="16" t="n"/>
      <c r="E228" s="16" t="n"/>
      <c r="F228" s="16" t="n"/>
      <c r="G228" s="16" t="n"/>
      <c r="H228" s="16" t="n"/>
      <c r="I228" s="16" t="n"/>
      <c r="J228" s="16" t="n"/>
      <c r="K228" s="16" t="n"/>
      <c r="L228" s="16" t="n"/>
      <c r="M228" s="16" t="n"/>
      <c r="N228" s="16" t="n"/>
      <c r="O228" s="17" t="n"/>
      <c r="P228" s="16" t="n"/>
      <c r="Q228" s="16" t="n"/>
      <c r="R228" s="16" t="n"/>
      <c r="S228" s="16" t="n"/>
      <c r="T228" s="16" t="n"/>
      <c r="U228" s="16" t="n"/>
      <c r="V228" s="16" t="n"/>
      <c r="W228" s="16" t="n"/>
      <c r="X228" s="16" t="n"/>
      <c r="Y228" s="16" t="n"/>
      <c r="Z228" s="16" t="n"/>
      <c r="AA228" s="16" t="n"/>
      <c r="AB228" s="18" t="n"/>
      <c r="AC228" s="15">
        <f>IF(A228="","",IF(AB228=_xlfn.MAXIFS('Register'!$AB$6:$AB$505,'Register'!$A$6:$A$505,A228),"Y","N"))</f>
        <v/>
      </c>
      <c r="AD228" s="15">
        <f>IF(A228="","",COUNTIF('Register'!$A$6:$A$505,A228))</f>
        <v/>
      </c>
      <c r="AE228" s="17" t="n"/>
      <c r="AF228" s="16" t="n"/>
      <c r="AG228" s="17" t="n"/>
      <c r="AH228" s="17" t="n"/>
      <c r="AI228" s="19">
        <f>IF(AE228="","",AE228+IF(AF228="",TA_NOC,AF228))</f>
        <v/>
      </c>
      <c r="AJ228" s="15">
        <f>IF(AE228="","",IF(AG228="",DATADATE,AG228)-AE228)</f>
        <v/>
      </c>
      <c r="AK228" s="15">
        <f>IF(OR(AI228="",AG228&lt;&gt;""),"",IF(DATADATE&gt;AI228,"OVERDUE",""))</f>
        <v/>
      </c>
      <c r="AL228" s="15">
        <f>IF(AH228="","",IF(AH228&lt;DATADATE,"EXPIRED",IF(AH228-DATADATE&lt;=WARN_EXP,"EXPIRING","")))</f>
        <v/>
      </c>
      <c r="AM228" s="16" t="n"/>
      <c r="AN228" s="16" t="n"/>
      <c r="AO228" s="16" t="n"/>
      <c r="AP228" s="16" t="n"/>
    </row>
    <row r="229">
      <c r="A229" s="15">
        <f>IF(AA229="","",PROJ&amp;"-NOC-"&amp;Z229&amp;"-"&amp;TEXT(AA229,"0000"))</f>
        <v/>
      </c>
      <c r="B229" s="15">
        <f>IF(AA229="","",PROJ)</f>
        <v/>
      </c>
      <c r="C229" s="16" t="n"/>
      <c r="D229" s="16" t="n"/>
      <c r="E229" s="16" t="n"/>
      <c r="F229" s="16" t="n"/>
      <c r="G229" s="16" t="n"/>
      <c r="H229" s="16" t="n"/>
      <c r="I229" s="16" t="n"/>
      <c r="J229" s="16" t="n"/>
      <c r="K229" s="16" t="n"/>
      <c r="L229" s="16" t="n"/>
      <c r="M229" s="16" t="n"/>
      <c r="N229" s="16" t="n"/>
      <c r="O229" s="17" t="n"/>
      <c r="P229" s="16" t="n"/>
      <c r="Q229" s="16" t="n"/>
      <c r="R229" s="16" t="n"/>
      <c r="S229" s="16" t="n"/>
      <c r="T229" s="16" t="n"/>
      <c r="U229" s="16" t="n"/>
      <c r="V229" s="16" t="n"/>
      <c r="W229" s="16" t="n"/>
      <c r="X229" s="16" t="n"/>
      <c r="Y229" s="16" t="n"/>
      <c r="Z229" s="16" t="n"/>
      <c r="AA229" s="16" t="n"/>
      <c r="AB229" s="18" t="n"/>
      <c r="AC229" s="15">
        <f>IF(A229="","",IF(AB229=_xlfn.MAXIFS('Register'!$AB$6:$AB$505,'Register'!$A$6:$A$505,A229),"Y","N"))</f>
        <v/>
      </c>
      <c r="AD229" s="15">
        <f>IF(A229="","",COUNTIF('Register'!$A$6:$A$505,A229))</f>
        <v/>
      </c>
      <c r="AE229" s="17" t="n"/>
      <c r="AF229" s="16" t="n"/>
      <c r="AG229" s="17" t="n"/>
      <c r="AH229" s="17" t="n"/>
      <c r="AI229" s="19">
        <f>IF(AE229="","",AE229+IF(AF229="",TA_NOC,AF229))</f>
        <v/>
      </c>
      <c r="AJ229" s="15">
        <f>IF(AE229="","",IF(AG229="",DATADATE,AG229)-AE229)</f>
        <v/>
      </c>
      <c r="AK229" s="15">
        <f>IF(OR(AI229="",AG229&lt;&gt;""),"",IF(DATADATE&gt;AI229,"OVERDUE",""))</f>
        <v/>
      </c>
      <c r="AL229" s="15">
        <f>IF(AH229="","",IF(AH229&lt;DATADATE,"EXPIRED",IF(AH229-DATADATE&lt;=WARN_EXP,"EXPIRING","")))</f>
        <v/>
      </c>
      <c r="AM229" s="16" t="n"/>
      <c r="AN229" s="16" t="n"/>
      <c r="AO229" s="16" t="n"/>
      <c r="AP229" s="16" t="n"/>
    </row>
    <row r="230">
      <c r="A230" s="15">
        <f>IF(AA230="","",PROJ&amp;"-NOC-"&amp;Z230&amp;"-"&amp;TEXT(AA230,"0000"))</f>
        <v/>
      </c>
      <c r="B230" s="15">
        <f>IF(AA230="","",PROJ)</f>
        <v/>
      </c>
      <c r="C230" s="16" t="n"/>
      <c r="D230" s="16" t="n"/>
      <c r="E230" s="16" t="n"/>
      <c r="F230" s="16" t="n"/>
      <c r="G230" s="16" t="n"/>
      <c r="H230" s="16" t="n"/>
      <c r="I230" s="16" t="n"/>
      <c r="J230" s="16" t="n"/>
      <c r="K230" s="16" t="n"/>
      <c r="L230" s="16" t="n"/>
      <c r="M230" s="16" t="n"/>
      <c r="N230" s="16" t="n"/>
      <c r="O230" s="17" t="n"/>
      <c r="P230" s="16" t="n"/>
      <c r="Q230" s="16" t="n"/>
      <c r="R230" s="16" t="n"/>
      <c r="S230" s="16" t="n"/>
      <c r="T230" s="16" t="n"/>
      <c r="U230" s="16" t="n"/>
      <c r="V230" s="16" t="n"/>
      <c r="W230" s="16" t="n"/>
      <c r="X230" s="16" t="n"/>
      <c r="Y230" s="16" t="n"/>
      <c r="Z230" s="16" t="n"/>
      <c r="AA230" s="16" t="n"/>
      <c r="AB230" s="18" t="n"/>
      <c r="AC230" s="15">
        <f>IF(A230="","",IF(AB230=_xlfn.MAXIFS('Register'!$AB$6:$AB$505,'Register'!$A$6:$A$505,A230),"Y","N"))</f>
        <v/>
      </c>
      <c r="AD230" s="15">
        <f>IF(A230="","",COUNTIF('Register'!$A$6:$A$505,A230))</f>
        <v/>
      </c>
      <c r="AE230" s="17" t="n"/>
      <c r="AF230" s="16" t="n"/>
      <c r="AG230" s="17" t="n"/>
      <c r="AH230" s="17" t="n"/>
      <c r="AI230" s="19">
        <f>IF(AE230="","",AE230+IF(AF230="",TA_NOC,AF230))</f>
        <v/>
      </c>
      <c r="AJ230" s="15">
        <f>IF(AE230="","",IF(AG230="",DATADATE,AG230)-AE230)</f>
        <v/>
      </c>
      <c r="AK230" s="15">
        <f>IF(OR(AI230="",AG230&lt;&gt;""),"",IF(DATADATE&gt;AI230,"OVERDUE",""))</f>
        <v/>
      </c>
      <c r="AL230" s="15">
        <f>IF(AH230="","",IF(AH230&lt;DATADATE,"EXPIRED",IF(AH230-DATADATE&lt;=WARN_EXP,"EXPIRING","")))</f>
        <v/>
      </c>
      <c r="AM230" s="16" t="n"/>
      <c r="AN230" s="16" t="n"/>
      <c r="AO230" s="16" t="n"/>
      <c r="AP230" s="16" t="n"/>
    </row>
    <row r="231">
      <c r="A231" s="15">
        <f>IF(AA231="","",PROJ&amp;"-NOC-"&amp;Z231&amp;"-"&amp;TEXT(AA231,"0000"))</f>
        <v/>
      </c>
      <c r="B231" s="15">
        <f>IF(AA231="","",PROJ)</f>
        <v/>
      </c>
      <c r="C231" s="16" t="n"/>
      <c r="D231" s="16" t="n"/>
      <c r="E231" s="16" t="n"/>
      <c r="F231" s="16" t="n"/>
      <c r="G231" s="16" t="n"/>
      <c r="H231" s="16" t="n"/>
      <c r="I231" s="16" t="n"/>
      <c r="J231" s="16" t="n"/>
      <c r="K231" s="16" t="n"/>
      <c r="L231" s="16" t="n"/>
      <c r="M231" s="16" t="n"/>
      <c r="N231" s="16" t="n"/>
      <c r="O231" s="17" t="n"/>
      <c r="P231" s="16" t="n"/>
      <c r="Q231" s="16" t="n"/>
      <c r="R231" s="16" t="n"/>
      <c r="S231" s="16" t="n"/>
      <c r="T231" s="16" t="n"/>
      <c r="U231" s="16" t="n"/>
      <c r="V231" s="16" t="n"/>
      <c r="W231" s="16" t="n"/>
      <c r="X231" s="16" t="n"/>
      <c r="Y231" s="16" t="n"/>
      <c r="Z231" s="16" t="n"/>
      <c r="AA231" s="16" t="n"/>
      <c r="AB231" s="18" t="n"/>
      <c r="AC231" s="15">
        <f>IF(A231="","",IF(AB231=_xlfn.MAXIFS('Register'!$AB$6:$AB$505,'Register'!$A$6:$A$505,A231),"Y","N"))</f>
        <v/>
      </c>
      <c r="AD231" s="15">
        <f>IF(A231="","",COUNTIF('Register'!$A$6:$A$505,A231))</f>
        <v/>
      </c>
      <c r="AE231" s="17" t="n"/>
      <c r="AF231" s="16" t="n"/>
      <c r="AG231" s="17" t="n"/>
      <c r="AH231" s="17" t="n"/>
      <c r="AI231" s="19">
        <f>IF(AE231="","",AE231+IF(AF231="",TA_NOC,AF231))</f>
        <v/>
      </c>
      <c r="AJ231" s="15">
        <f>IF(AE231="","",IF(AG231="",DATADATE,AG231)-AE231)</f>
        <v/>
      </c>
      <c r="AK231" s="15">
        <f>IF(OR(AI231="",AG231&lt;&gt;""),"",IF(DATADATE&gt;AI231,"OVERDUE",""))</f>
        <v/>
      </c>
      <c r="AL231" s="15">
        <f>IF(AH231="","",IF(AH231&lt;DATADATE,"EXPIRED",IF(AH231-DATADATE&lt;=WARN_EXP,"EXPIRING","")))</f>
        <v/>
      </c>
      <c r="AM231" s="16" t="n"/>
      <c r="AN231" s="16" t="n"/>
      <c r="AO231" s="16" t="n"/>
      <c r="AP231" s="16" t="n"/>
    </row>
    <row r="232">
      <c r="A232" s="15">
        <f>IF(AA232="","",PROJ&amp;"-NOC-"&amp;Z232&amp;"-"&amp;TEXT(AA232,"0000"))</f>
        <v/>
      </c>
      <c r="B232" s="15">
        <f>IF(AA232="","",PROJ)</f>
        <v/>
      </c>
      <c r="C232" s="16" t="n"/>
      <c r="D232" s="16" t="n"/>
      <c r="E232" s="16" t="n"/>
      <c r="F232" s="16" t="n"/>
      <c r="G232" s="16" t="n"/>
      <c r="H232" s="16" t="n"/>
      <c r="I232" s="16" t="n"/>
      <c r="J232" s="16" t="n"/>
      <c r="K232" s="16" t="n"/>
      <c r="L232" s="16" t="n"/>
      <c r="M232" s="16" t="n"/>
      <c r="N232" s="16" t="n"/>
      <c r="O232" s="17" t="n"/>
      <c r="P232" s="16" t="n"/>
      <c r="Q232" s="16" t="n"/>
      <c r="R232" s="16" t="n"/>
      <c r="S232" s="16" t="n"/>
      <c r="T232" s="16" t="n"/>
      <c r="U232" s="16" t="n"/>
      <c r="V232" s="16" t="n"/>
      <c r="W232" s="16" t="n"/>
      <c r="X232" s="16" t="n"/>
      <c r="Y232" s="16" t="n"/>
      <c r="Z232" s="16" t="n"/>
      <c r="AA232" s="16" t="n"/>
      <c r="AB232" s="18" t="n"/>
      <c r="AC232" s="15">
        <f>IF(A232="","",IF(AB232=_xlfn.MAXIFS('Register'!$AB$6:$AB$505,'Register'!$A$6:$A$505,A232),"Y","N"))</f>
        <v/>
      </c>
      <c r="AD232" s="15">
        <f>IF(A232="","",COUNTIF('Register'!$A$6:$A$505,A232))</f>
        <v/>
      </c>
      <c r="AE232" s="17" t="n"/>
      <c r="AF232" s="16" t="n"/>
      <c r="AG232" s="17" t="n"/>
      <c r="AH232" s="17" t="n"/>
      <c r="AI232" s="19">
        <f>IF(AE232="","",AE232+IF(AF232="",TA_NOC,AF232))</f>
        <v/>
      </c>
      <c r="AJ232" s="15">
        <f>IF(AE232="","",IF(AG232="",DATADATE,AG232)-AE232)</f>
        <v/>
      </c>
      <c r="AK232" s="15">
        <f>IF(OR(AI232="",AG232&lt;&gt;""),"",IF(DATADATE&gt;AI232,"OVERDUE",""))</f>
        <v/>
      </c>
      <c r="AL232" s="15">
        <f>IF(AH232="","",IF(AH232&lt;DATADATE,"EXPIRED",IF(AH232-DATADATE&lt;=WARN_EXP,"EXPIRING","")))</f>
        <v/>
      </c>
      <c r="AM232" s="16" t="n"/>
      <c r="AN232" s="16" t="n"/>
      <c r="AO232" s="16" t="n"/>
      <c r="AP232" s="16" t="n"/>
    </row>
    <row r="233">
      <c r="A233" s="15">
        <f>IF(AA233="","",PROJ&amp;"-NOC-"&amp;Z233&amp;"-"&amp;TEXT(AA233,"0000"))</f>
        <v/>
      </c>
      <c r="B233" s="15">
        <f>IF(AA233="","",PROJ)</f>
        <v/>
      </c>
      <c r="C233" s="16" t="n"/>
      <c r="D233" s="16" t="n"/>
      <c r="E233" s="16" t="n"/>
      <c r="F233" s="16" t="n"/>
      <c r="G233" s="16" t="n"/>
      <c r="H233" s="16" t="n"/>
      <c r="I233" s="16" t="n"/>
      <c r="J233" s="16" t="n"/>
      <c r="K233" s="16" t="n"/>
      <c r="L233" s="16" t="n"/>
      <c r="M233" s="16" t="n"/>
      <c r="N233" s="16" t="n"/>
      <c r="O233" s="17" t="n"/>
      <c r="P233" s="16" t="n"/>
      <c r="Q233" s="16" t="n"/>
      <c r="R233" s="16" t="n"/>
      <c r="S233" s="16" t="n"/>
      <c r="T233" s="16" t="n"/>
      <c r="U233" s="16" t="n"/>
      <c r="V233" s="16" t="n"/>
      <c r="W233" s="16" t="n"/>
      <c r="X233" s="16" t="n"/>
      <c r="Y233" s="16" t="n"/>
      <c r="Z233" s="16" t="n"/>
      <c r="AA233" s="16" t="n"/>
      <c r="AB233" s="18" t="n"/>
      <c r="AC233" s="15">
        <f>IF(A233="","",IF(AB233=_xlfn.MAXIFS('Register'!$AB$6:$AB$505,'Register'!$A$6:$A$505,A233),"Y","N"))</f>
        <v/>
      </c>
      <c r="AD233" s="15">
        <f>IF(A233="","",COUNTIF('Register'!$A$6:$A$505,A233))</f>
        <v/>
      </c>
      <c r="AE233" s="17" t="n"/>
      <c r="AF233" s="16" t="n"/>
      <c r="AG233" s="17" t="n"/>
      <c r="AH233" s="17" t="n"/>
      <c r="AI233" s="19">
        <f>IF(AE233="","",AE233+IF(AF233="",TA_NOC,AF233))</f>
        <v/>
      </c>
      <c r="AJ233" s="15">
        <f>IF(AE233="","",IF(AG233="",DATADATE,AG233)-AE233)</f>
        <v/>
      </c>
      <c r="AK233" s="15">
        <f>IF(OR(AI233="",AG233&lt;&gt;""),"",IF(DATADATE&gt;AI233,"OVERDUE",""))</f>
        <v/>
      </c>
      <c r="AL233" s="15">
        <f>IF(AH233="","",IF(AH233&lt;DATADATE,"EXPIRED",IF(AH233-DATADATE&lt;=WARN_EXP,"EXPIRING","")))</f>
        <v/>
      </c>
      <c r="AM233" s="16" t="n"/>
      <c r="AN233" s="16" t="n"/>
      <c r="AO233" s="16" t="n"/>
      <c r="AP233" s="16" t="n"/>
    </row>
    <row r="234">
      <c r="A234" s="15">
        <f>IF(AA234="","",PROJ&amp;"-NOC-"&amp;Z234&amp;"-"&amp;TEXT(AA234,"0000"))</f>
        <v/>
      </c>
      <c r="B234" s="15">
        <f>IF(AA234="","",PROJ)</f>
        <v/>
      </c>
      <c r="C234" s="16" t="n"/>
      <c r="D234" s="16" t="n"/>
      <c r="E234" s="16" t="n"/>
      <c r="F234" s="16" t="n"/>
      <c r="G234" s="16" t="n"/>
      <c r="H234" s="16" t="n"/>
      <c r="I234" s="16" t="n"/>
      <c r="J234" s="16" t="n"/>
      <c r="K234" s="16" t="n"/>
      <c r="L234" s="16" t="n"/>
      <c r="M234" s="16" t="n"/>
      <c r="N234" s="16" t="n"/>
      <c r="O234" s="17" t="n"/>
      <c r="P234" s="16" t="n"/>
      <c r="Q234" s="16" t="n"/>
      <c r="R234" s="16" t="n"/>
      <c r="S234" s="16" t="n"/>
      <c r="T234" s="16" t="n"/>
      <c r="U234" s="16" t="n"/>
      <c r="V234" s="16" t="n"/>
      <c r="W234" s="16" t="n"/>
      <c r="X234" s="16" t="n"/>
      <c r="Y234" s="16" t="n"/>
      <c r="Z234" s="16" t="n"/>
      <c r="AA234" s="16" t="n"/>
      <c r="AB234" s="18" t="n"/>
      <c r="AC234" s="15">
        <f>IF(A234="","",IF(AB234=_xlfn.MAXIFS('Register'!$AB$6:$AB$505,'Register'!$A$6:$A$505,A234),"Y","N"))</f>
        <v/>
      </c>
      <c r="AD234" s="15">
        <f>IF(A234="","",COUNTIF('Register'!$A$6:$A$505,A234))</f>
        <v/>
      </c>
      <c r="AE234" s="17" t="n"/>
      <c r="AF234" s="16" t="n"/>
      <c r="AG234" s="17" t="n"/>
      <c r="AH234" s="17" t="n"/>
      <c r="AI234" s="19">
        <f>IF(AE234="","",AE234+IF(AF234="",TA_NOC,AF234))</f>
        <v/>
      </c>
      <c r="AJ234" s="15">
        <f>IF(AE234="","",IF(AG234="",DATADATE,AG234)-AE234)</f>
        <v/>
      </c>
      <c r="AK234" s="15">
        <f>IF(OR(AI234="",AG234&lt;&gt;""),"",IF(DATADATE&gt;AI234,"OVERDUE",""))</f>
        <v/>
      </c>
      <c r="AL234" s="15">
        <f>IF(AH234="","",IF(AH234&lt;DATADATE,"EXPIRED",IF(AH234-DATADATE&lt;=WARN_EXP,"EXPIRING","")))</f>
        <v/>
      </c>
      <c r="AM234" s="16" t="n"/>
      <c r="AN234" s="16" t="n"/>
      <c r="AO234" s="16" t="n"/>
      <c r="AP234" s="16" t="n"/>
    </row>
    <row r="235">
      <c r="A235" s="15">
        <f>IF(AA235="","",PROJ&amp;"-NOC-"&amp;Z235&amp;"-"&amp;TEXT(AA235,"0000"))</f>
        <v/>
      </c>
      <c r="B235" s="15">
        <f>IF(AA235="","",PROJ)</f>
        <v/>
      </c>
      <c r="C235" s="16" t="n"/>
      <c r="D235" s="16" t="n"/>
      <c r="E235" s="16" t="n"/>
      <c r="F235" s="16" t="n"/>
      <c r="G235" s="16" t="n"/>
      <c r="H235" s="16" t="n"/>
      <c r="I235" s="16" t="n"/>
      <c r="J235" s="16" t="n"/>
      <c r="K235" s="16" t="n"/>
      <c r="L235" s="16" t="n"/>
      <c r="M235" s="16" t="n"/>
      <c r="N235" s="16" t="n"/>
      <c r="O235" s="17" t="n"/>
      <c r="P235" s="16" t="n"/>
      <c r="Q235" s="16" t="n"/>
      <c r="R235" s="16" t="n"/>
      <c r="S235" s="16" t="n"/>
      <c r="T235" s="16" t="n"/>
      <c r="U235" s="16" t="n"/>
      <c r="V235" s="16" t="n"/>
      <c r="W235" s="16" t="n"/>
      <c r="X235" s="16" t="n"/>
      <c r="Y235" s="16" t="n"/>
      <c r="Z235" s="16" t="n"/>
      <c r="AA235" s="16" t="n"/>
      <c r="AB235" s="18" t="n"/>
      <c r="AC235" s="15">
        <f>IF(A235="","",IF(AB235=_xlfn.MAXIFS('Register'!$AB$6:$AB$505,'Register'!$A$6:$A$505,A235),"Y","N"))</f>
        <v/>
      </c>
      <c r="AD235" s="15">
        <f>IF(A235="","",COUNTIF('Register'!$A$6:$A$505,A235))</f>
        <v/>
      </c>
      <c r="AE235" s="17" t="n"/>
      <c r="AF235" s="16" t="n"/>
      <c r="AG235" s="17" t="n"/>
      <c r="AH235" s="17" t="n"/>
      <c r="AI235" s="19">
        <f>IF(AE235="","",AE235+IF(AF235="",TA_NOC,AF235))</f>
        <v/>
      </c>
      <c r="AJ235" s="15">
        <f>IF(AE235="","",IF(AG235="",DATADATE,AG235)-AE235)</f>
        <v/>
      </c>
      <c r="AK235" s="15">
        <f>IF(OR(AI235="",AG235&lt;&gt;""),"",IF(DATADATE&gt;AI235,"OVERDUE",""))</f>
        <v/>
      </c>
      <c r="AL235" s="15">
        <f>IF(AH235="","",IF(AH235&lt;DATADATE,"EXPIRED",IF(AH235-DATADATE&lt;=WARN_EXP,"EXPIRING","")))</f>
        <v/>
      </c>
      <c r="AM235" s="16" t="n"/>
      <c r="AN235" s="16" t="n"/>
      <c r="AO235" s="16" t="n"/>
      <c r="AP235" s="16" t="n"/>
    </row>
    <row r="236">
      <c r="A236" s="15">
        <f>IF(AA236="","",PROJ&amp;"-NOC-"&amp;Z236&amp;"-"&amp;TEXT(AA236,"0000"))</f>
        <v/>
      </c>
      <c r="B236" s="15">
        <f>IF(AA236="","",PROJ)</f>
        <v/>
      </c>
      <c r="C236" s="16" t="n"/>
      <c r="D236" s="16" t="n"/>
      <c r="E236" s="16" t="n"/>
      <c r="F236" s="16" t="n"/>
      <c r="G236" s="16" t="n"/>
      <c r="H236" s="16" t="n"/>
      <c r="I236" s="16" t="n"/>
      <c r="J236" s="16" t="n"/>
      <c r="K236" s="16" t="n"/>
      <c r="L236" s="16" t="n"/>
      <c r="M236" s="16" t="n"/>
      <c r="N236" s="16" t="n"/>
      <c r="O236" s="17" t="n"/>
      <c r="P236" s="16" t="n"/>
      <c r="Q236" s="16" t="n"/>
      <c r="R236" s="16" t="n"/>
      <c r="S236" s="16" t="n"/>
      <c r="T236" s="16" t="n"/>
      <c r="U236" s="16" t="n"/>
      <c r="V236" s="16" t="n"/>
      <c r="W236" s="16" t="n"/>
      <c r="X236" s="16" t="n"/>
      <c r="Y236" s="16" t="n"/>
      <c r="Z236" s="16" t="n"/>
      <c r="AA236" s="16" t="n"/>
      <c r="AB236" s="18" t="n"/>
      <c r="AC236" s="15">
        <f>IF(A236="","",IF(AB236=_xlfn.MAXIFS('Register'!$AB$6:$AB$505,'Register'!$A$6:$A$505,A236),"Y","N"))</f>
        <v/>
      </c>
      <c r="AD236" s="15">
        <f>IF(A236="","",COUNTIF('Register'!$A$6:$A$505,A236))</f>
        <v/>
      </c>
      <c r="AE236" s="17" t="n"/>
      <c r="AF236" s="16" t="n"/>
      <c r="AG236" s="17" t="n"/>
      <c r="AH236" s="17" t="n"/>
      <c r="AI236" s="19">
        <f>IF(AE236="","",AE236+IF(AF236="",TA_NOC,AF236))</f>
        <v/>
      </c>
      <c r="AJ236" s="15">
        <f>IF(AE236="","",IF(AG236="",DATADATE,AG236)-AE236)</f>
        <v/>
      </c>
      <c r="AK236" s="15">
        <f>IF(OR(AI236="",AG236&lt;&gt;""),"",IF(DATADATE&gt;AI236,"OVERDUE",""))</f>
        <v/>
      </c>
      <c r="AL236" s="15">
        <f>IF(AH236="","",IF(AH236&lt;DATADATE,"EXPIRED",IF(AH236-DATADATE&lt;=WARN_EXP,"EXPIRING","")))</f>
        <v/>
      </c>
      <c r="AM236" s="16" t="n"/>
      <c r="AN236" s="16" t="n"/>
      <c r="AO236" s="16" t="n"/>
      <c r="AP236" s="16" t="n"/>
    </row>
    <row r="237">
      <c r="A237" s="15">
        <f>IF(AA237="","",PROJ&amp;"-NOC-"&amp;Z237&amp;"-"&amp;TEXT(AA237,"0000"))</f>
        <v/>
      </c>
      <c r="B237" s="15">
        <f>IF(AA237="","",PROJ)</f>
        <v/>
      </c>
      <c r="C237" s="16" t="n"/>
      <c r="D237" s="16" t="n"/>
      <c r="E237" s="16" t="n"/>
      <c r="F237" s="16" t="n"/>
      <c r="G237" s="16" t="n"/>
      <c r="H237" s="16" t="n"/>
      <c r="I237" s="16" t="n"/>
      <c r="J237" s="16" t="n"/>
      <c r="K237" s="16" t="n"/>
      <c r="L237" s="16" t="n"/>
      <c r="M237" s="16" t="n"/>
      <c r="N237" s="16" t="n"/>
      <c r="O237" s="17" t="n"/>
      <c r="P237" s="16" t="n"/>
      <c r="Q237" s="16" t="n"/>
      <c r="R237" s="16" t="n"/>
      <c r="S237" s="16" t="n"/>
      <c r="T237" s="16" t="n"/>
      <c r="U237" s="16" t="n"/>
      <c r="V237" s="16" t="n"/>
      <c r="W237" s="16" t="n"/>
      <c r="X237" s="16" t="n"/>
      <c r="Y237" s="16" t="n"/>
      <c r="Z237" s="16" t="n"/>
      <c r="AA237" s="16" t="n"/>
      <c r="AB237" s="18" t="n"/>
      <c r="AC237" s="15">
        <f>IF(A237="","",IF(AB237=_xlfn.MAXIFS('Register'!$AB$6:$AB$505,'Register'!$A$6:$A$505,A237),"Y","N"))</f>
        <v/>
      </c>
      <c r="AD237" s="15">
        <f>IF(A237="","",COUNTIF('Register'!$A$6:$A$505,A237))</f>
        <v/>
      </c>
      <c r="AE237" s="17" t="n"/>
      <c r="AF237" s="16" t="n"/>
      <c r="AG237" s="17" t="n"/>
      <c r="AH237" s="17" t="n"/>
      <c r="AI237" s="19">
        <f>IF(AE237="","",AE237+IF(AF237="",TA_NOC,AF237))</f>
        <v/>
      </c>
      <c r="AJ237" s="15">
        <f>IF(AE237="","",IF(AG237="",DATADATE,AG237)-AE237)</f>
        <v/>
      </c>
      <c r="AK237" s="15">
        <f>IF(OR(AI237="",AG237&lt;&gt;""),"",IF(DATADATE&gt;AI237,"OVERDUE",""))</f>
        <v/>
      </c>
      <c r="AL237" s="15">
        <f>IF(AH237="","",IF(AH237&lt;DATADATE,"EXPIRED",IF(AH237-DATADATE&lt;=WARN_EXP,"EXPIRING","")))</f>
        <v/>
      </c>
      <c r="AM237" s="16" t="n"/>
      <c r="AN237" s="16" t="n"/>
      <c r="AO237" s="16" t="n"/>
      <c r="AP237" s="16" t="n"/>
    </row>
    <row r="238">
      <c r="A238" s="15">
        <f>IF(AA238="","",PROJ&amp;"-NOC-"&amp;Z238&amp;"-"&amp;TEXT(AA238,"0000"))</f>
        <v/>
      </c>
      <c r="B238" s="15">
        <f>IF(AA238="","",PROJ)</f>
        <v/>
      </c>
      <c r="C238" s="16" t="n"/>
      <c r="D238" s="16" t="n"/>
      <c r="E238" s="16" t="n"/>
      <c r="F238" s="16" t="n"/>
      <c r="G238" s="16" t="n"/>
      <c r="H238" s="16" t="n"/>
      <c r="I238" s="16" t="n"/>
      <c r="J238" s="16" t="n"/>
      <c r="K238" s="16" t="n"/>
      <c r="L238" s="16" t="n"/>
      <c r="M238" s="16" t="n"/>
      <c r="N238" s="16" t="n"/>
      <c r="O238" s="17" t="n"/>
      <c r="P238" s="16" t="n"/>
      <c r="Q238" s="16" t="n"/>
      <c r="R238" s="16" t="n"/>
      <c r="S238" s="16" t="n"/>
      <c r="T238" s="16" t="n"/>
      <c r="U238" s="16" t="n"/>
      <c r="V238" s="16" t="n"/>
      <c r="W238" s="16" t="n"/>
      <c r="X238" s="16" t="n"/>
      <c r="Y238" s="16" t="n"/>
      <c r="Z238" s="16" t="n"/>
      <c r="AA238" s="16" t="n"/>
      <c r="AB238" s="18" t="n"/>
      <c r="AC238" s="15">
        <f>IF(A238="","",IF(AB238=_xlfn.MAXIFS('Register'!$AB$6:$AB$505,'Register'!$A$6:$A$505,A238),"Y","N"))</f>
        <v/>
      </c>
      <c r="AD238" s="15">
        <f>IF(A238="","",COUNTIF('Register'!$A$6:$A$505,A238))</f>
        <v/>
      </c>
      <c r="AE238" s="17" t="n"/>
      <c r="AF238" s="16" t="n"/>
      <c r="AG238" s="17" t="n"/>
      <c r="AH238" s="17" t="n"/>
      <c r="AI238" s="19">
        <f>IF(AE238="","",AE238+IF(AF238="",TA_NOC,AF238))</f>
        <v/>
      </c>
      <c r="AJ238" s="15">
        <f>IF(AE238="","",IF(AG238="",DATADATE,AG238)-AE238)</f>
        <v/>
      </c>
      <c r="AK238" s="15">
        <f>IF(OR(AI238="",AG238&lt;&gt;""),"",IF(DATADATE&gt;AI238,"OVERDUE",""))</f>
        <v/>
      </c>
      <c r="AL238" s="15">
        <f>IF(AH238="","",IF(AH238&lt;DATADATE,"EXPIRED",IF(AH238-DATADATE&lt;=WARN_EXP,"EXPIRING","")))</f>
        <v/>
      </c>
      <c r="AM238" s="16" t="n"/>
      <c r="AN238" s="16" t="n"/>
      <c r="AO238" s="16" t="n"/>
      <c r="AP238" s="16" t="n"/>
    </row>
    <row r="239">
      <c r="A239" s="15">
        <f>IF(AA239="","",PROJ&amp;"-NOC-"&amp;Z239&amp;"-"&amp;TEXT(AA239,"0000"))</f>
        <v/>
      </c>
      <c r="B239" s="15">
        <f>IF(AA239="","",PROJ)</f>
        <v/>
      </c>
      <c r="C239" s="16" t="n"/>
      <c r="D239" s="16" t="n"/>
      <c r="E239" s="16" t="n"/>
      <c r="F239" s="16" t="n"/>
      <c r="G239" s="16" t="n"/>
      <c r="H239" s="16" t="n"/>
      <c r="I239" s="16" t="n"/>
      <c r="J239" s="16" t="n"/>
      <c r="K239" s="16" t="n"/>
      <c r="L239" s="16" t="n"/>
      <c r="M239" s="16" t="n"/>
      <c r="N239" s="16" t="n"/>
      <c r="O239" s="17" t="n"/>
      <c r="P239" s="16" t="n"/>
      <c r="Q239" s="16" t="n"/>
      <c r="R239" s="16" t="n"/>
      <c r="S239" s="16" t="n"/>
      <c r="T239" s="16" t="n"/>
      <c r="U239" s="16" t="n"/>
      <c r="V239" s="16" t="n"/>
      <c r="W239" s="16" t="n"/>
      <c r="X239" s="16" t="n"/>
      <c r="Y239" s="16" t="n"/>
      <c r="Z239" s="16" t="n"/>
      <c r="AA239" s="16" t="n"/>
      <c r="AB239" s="18" t="n"/>
      <c r="AC239" s="15">
        <f>IF(A239="","",IF(AB239=_xlfn.MAXIFS('Register'!$AB$6:$AB$505,'Register'!$A$6:$A$505,A239),"Y","N"))</f>
        <v/>
      </c>
      <c r="AD239" s="15">
        <f>IF(A239="","",COUNTIF('Register'!$A$6:$A$505,A239))</f>
        <v/>
      </c>
      <c r="AE239" s="17" t="n"/>
      <c r="AF239" s="16" t="n"/>
      <c r="AG239" s="17" t="n"/>
      <c r="AH239" s="17" t="n"/>
      <c r="AI239" s="19">
        <f>IF(AE239="","",AE239+IF(AF239="",TA_NOC,AF239))</f>
        <v/>
      </c>
      <c r="AJ239" s="15">
        <f>IF(AE239="","",IF(AG239="",DATADATE,AG239)-AE239)</f>
        <v/>
      </c>
      <c r="AK239" s="15">
        <f>IF(OR(AI239="",AG239&lt;&gt;""),"",IF(DATADATE&gt;AI239,"OVERDUE",""))</f>
        <v/>
      </c>
      <c r="AL239" s="15">
        <f>IF(AH239="","",IF(AH239&lt;DATADATE,"EXPIRED",IF(AH239-DATADATE&lt;=WARN_EXP,"EXPIRING","")))</f>
        <v/>
      </c>
      <c r="AM239" s="16" t="n"/>
      <c r="AN239" s="16" t="n"/>
      <c r="AO239" s="16" t="n"/>
      <c r="AP239" s="16" t="n"/>
    </row>
    <row r="240">
      <c r="A240" s="15">
        <f>IF(AA240="","",PROJ&amp;"-NOC-"&amp;Z240&amp;"-"&amp;TEXT(AA240,"0000"))</f>
        <v/>
      </c>
      <c r="B240" s="15">
        <f>IF(AA240="","",PROJ)</f>
        <v/>
      </c>
      <c r="C240" s="16" t="n"/>
      <c r="D240" s="16" t="n"/>
      <c r="E240" s="16" t="n"/>
      <c r="F240" s="16" t="n"/>
      <c r="G240" s="16" t="n"/>
      <c r="H240" s="16" t="n"/>
      <c r="I240" s="16" t="n"/>
      <c r="J240" s="16" t="n"/>
      <c r="K240" s="16" t="n"/>
      <c r="L240" s="16" t="n"/>
      <c r="M240" s="16" t="n"/>
      <c r="N240" s="16" t="n"/>
      <c r="O240" s="17" t="n"/>
      <c r="P240" s="16" t="n"/>
      <c r="Q240" s="16" t="n"/>
      <c r="R240" s="16" t="n"/>
      <c r="S240" s="16" t="n"/>
      <c r="T240" s="16" t="n"/>
      <c r="U240" s="16" t="n"/>
      <c r="V240" s="16" t="n"/>
      <c r="W240" s="16" t="n"/>
      <c r="X240" s="16" t="n"/>
      <c r="Y240" s="16" t="n"/>
      <c r="Z240" s="16" t="n"/>
      <c r="AA240" s="16" t="n"/>
      <c r="AB240" s="18" t="n"/>
      <c r="AC240" s="15">
        <f>IF(A240="","",IF(AB240=_xlfn.MAXIFS('Register'!$AB$6:$AB$505,'Register'!$A$6:$A$505,A240),"Y","N"))</f>
        <v/>
      </c>
      <c r="AD240" s="15">
        <f>IF(A240="","",COUNTIF('Register'!$A$6:$A$505,A240))</f>
        <v/>
      </c>
      <c r="AE240" s="17" t="n"/>
      <c r="AF240" s="16" t="n"/>
      <c r="AG240" s="17" t="n"/>
      <c r="AH240" s="17" t="n"/>
      <c r="AI240" s="19">
        <f>IF(AE240="","",AE240+IF(AF240="",TA_NOC,AF240))</f>
        <v/>
      </c>
      <c r="AJ240" s="15">
        <f>IF(AE240="","",IF(AG240="",DATADATE,AG240)-AE240)</f>
        <v/>
      </c>
      <c r="AK240" s="15">
        <f>IF(OR(AI240="",AG240&lt;&gt;""),"",IF(DATADATE&gt;AI240,"OVERDUE",""))</f>
        <v/>
      </c>
      <c r="AL240" s="15">
        <f>IF(AH240="","",IF(AH240&lt;DATADATE,"EXPIRED",IF(AH240-DATADATE&lt;=WARN_EXP,"EXPIRING","")))</f>
        <v/>
      </c>
      <c r="AM240" s="16" t="n"/>
      <c r="AN240" s="16" t="n"/>
      <c r="AO240" s="16" t="n"/>
      <c r="AP240" s="16" t="n"/>
    </row>
    <row r="241">
      <c r="A241" s="15">
        <f>IF(AA241="","",PROJ&amp;"-NOC-"&amp;Z241&amp;"-"&amp;TEXT(AA241,"0000"))</f>
        <v/>
      </c>
      <c r="B241" s="15">
        <f>IF(AA241="","",PROJ)</f>
        <v/>
      </c>
      <c r="C241" s="16" t="n"/>
      <c r="D241" s="16" t="n"/>
      <c r="E241" s="16" t="n"/>
      <c r="F241" s="16" t="n"/>
      <c r="G241" s="16" t="n"/>
      <c r="H241" s="16" t="n"/>
      <c r="I241" s="16" t="n"/>
      <c r="J241" s="16" t="n"/>
      <c r="K241" s="16" t="n"/>
      <c r="L241" s="16" t="n"/>
      <c r="M241" s="16" t="n"/>
      <c r="N241" s="16" t="n"/>
      <c r="O241" s="17" t="n"/>
      <c r="P241" s="16" t="n"/>
      <c r="Q241" s="16" t="n"/>
      <c r="R241" s="16" t="n"/>
      <c r="S241" s="16" t="n"/>
      <c r="T241" s="16" t="n"/>
      <c r="U241" s="16" t="n"/>
      <c r="V241" s="16" t="n"/>
      <c r="W241" s="16" t="n"/>
      <c r="X241" s="16" t="n"/>
      <c r="Y241" s="16" t="n"/>
      <c r="Z241" s="16" t="n"/>
      <c r="AA241" s="16" t="n"/>
      <c r="AB241" s="18" t="n"/>
      <c r="AC241" s="15">
        <f>IF(A241="","",IF(AB241=_xlfn.MAXIFS('Register'!$AB$6:$AB$505,'Register'!$A$6:$A$505,A241),"Y","N"))</f>
        <v/>
      </c>
      <c r="AD241" s="15">
        <f>IF(A241="","",COUNTIF('Register'!$A$6:$A$505,A241))</f>
        <v/>
      </c>
      <c r="AE241" s="17" t="n"/>
      <c r="AF241" s="16" t="n"/>
      <c r="AG241" s="17" t="n"/>
      <c r="AH241" s="17" t="n"/>
      <c r="AI241" s="19">
        <f>IF(AE241="","",AE241+IF(AF241="",TA_NOC,AF241))</f>
        <v/>
      </c>
      <c r="AJ241" s="15">
        <f>IF(AE241="","",IF(AG241="",DATADATE,AG241)-AE241)</f>
        <v/>
      </c>
      <c r="AK241" s="15">
        <f>IF(OR(AI241="",AG241&lt;&gt;""),"",IF(DATADATE&gt;AI241,"OVERDUE",""))</f>
        <v/>
      </c>
      <c r="AL241" s="15">
        <f>IF(AH241="","",IF(AH241&lt;DATADATE,"EXPIRED",IF(AH241-DATADATE&lt;=WARN_EXP,"EXPIRING","")))</f>
        <v/>
      </c>
      <c r="AM241" s="16" t="n"/>
      <c r="AN241" s="16" t="n"/>
      <c r="AO241" s="16" t="n"/>
      <c r="AP241" s="16" t="n"/>
    </row>
    <row r="242">
      <c r="A242" s="15">
        <f>IF(AA242="","",PROJ&amp;"-NOC-"&amp;Z242&amp;"-"&amp;TEXT(AA242,"0000"))</f>
        <v/>
      </c>
      <c r="B242" s="15">
        <f>IF(AA242="","",PROJ)</f>
        <v/>
      </c>
      <c r="C242" s="16" t="n"/>
      <c r="D242" s="16" t="n"/>
      <c r="E242" s="16" t="n"/>
      <c r="F242" s="16" t="n"/>
      <c r="G242" s="16" t="n"/>
      <c r="H242" s="16" t="n"/>
      <c r="I242" s="16" t="n"/>
      <c r="J242" s="16" t="n"/>
      <c r="K242" s="16" t="n"/>
      <c r="L242" s="16" t="n"/>
      <c r="M242" s="16" t="n"/>
      <c r="N242" s="16" t="n"/>
      <c r="O242" s="17" t="n"/>
      <c r="P242" s="16" t="n"/>
      <c r="Q242" s="16" t="n"/>
      <c r="R242" s="16" t="n"/>
      <c r="S242" s="16" t="n"/>
      <c r="T242" s="16" t="n"/>
      <c r="U242" s="16" t="n"/>
      <c r="V242" s="16" t="n"/>
      <c r="W242" s="16" t="n"/>
      <c r="X242" s="16" t="n"/>
      <c r="Y242" s="16" t="n"/>
      <c r="Z242" s="16" t="n"/>
      <c r="AA242" s="16" t="n"/>
      <c r="AB242" s="18" t="n"/>
      <c r="AC242" s="15">
        <f>IF(A242="","",IF(AB242=_xlfn.MAXIFS('Register'!$AB$6:$AB$505,'Register'!$A$6:$A$505,A242),"Y","N"))</f>
        <v/>
      </c>
      <c r="AD242" s="15">
        <f>IF(A242="","",COUNTIF('Register'!$A$6:$A$505,A242))</f>
        <v/>
      </c>
      <c r="AE242" s="17" t="n"/>
      <c r="AF242" s="16" t="n"/>
      <c r="AG242" s="17" t="n"/>
      <c r="AH242" s="17" t="n"/>
      <c r="AI242" s="19">
        <f>IF(AE242="","",AE242+IF(AF242="",TA_NOC,AF242))</f>
        <v/>
      </c>
      <c r="AJ242" s="15">
        <f>IF(AE242="","",IF(AG242="",DATADATE,AG242)-AE242)</f>
        <v/>
      </c>
      <c r="AK242" s="15">
        <f>IF(OR(AI242="",AG242&lt;&gt;""),"",IF(DATADATE&gt;AI242,"OVERDUE",""))</f>
        <v/>
      </c>
      <c r="AL242" s="15">
        <f>IF(AH242="","",IF(AH242&lt;DATADATE,"EXPIRED",IF(AH242-DATADATE&lt;=WARN_EXP,"EXPIRING","")))</f>
        <v/>
      </c>
      <c r="AM242" s="16" t="n"/>
      <c r="AN242" s="16" t="n"/>
      <c r="AO242" s="16" t="n"/>
      <c r="AP242" s="16" t="n"/>
    </row>
    <row r="243">
      <c r="A243" s="15">
        <f>IF(AA243="","",PROJ&amp;"-NOC-"&amp;Z243&amp;"-"&amp;TEXT(AA243,"0000"))</f>
        <v/>
      </c>
      <c r="B243" s="15">
        <f>IF(AA243="","",PROJ)</f>
        <v/>
      </c>
      <c r="C243" s="16" t="n"/>
      <c r="D243" s="16" t="n"/>
      <c r="E243" s="16" t="n"/>
      <c r="F243" s="16" t="n"/>
      <c r="G243" s="16" t="n"/>
      <c r="H243" s="16" t="n"/>
      <c r="I243" s="16" t="n"/>
      <c r="J243" s="16" t="n"/>
      <c r="K243" s="16" t="n"/>
      <c r="L243" s="16" t="n"/>
      <c r="M243" s="16" t="n"/>
      <c r="N243" s="16" t="n"/>
      <c r="O243" s="17" t="n"/>
      <c r="P243" s="16" t="n"/>
      <c r="Q243" s="16" t="n"/>
      <c r="R243" s="16" t="n"/>
      <c r="S243" s="16" t="n"/>
      <c r="T243" s="16" t="n"/>
      <c r="U243" s="16" t="n"/>
      <c r="V243" s="16" t="n"/>
      <c r="W243" s="16" t="n"/>
      <c r="X243" s="16" t="n"/>
      <c r="Y243" s="16" t="n"/>
      <c r="Z243" s="16" t="n"/>
      <c r="AA243" s="16" t="n"/>
      <c r="AB243" s="18" t="n"/>
      <c r="AC243" s="15">
        <f>IF(A243="","",IF(AB243=_xlfn.MAXIFS('Register'!$AB$6:$AB$505,'Register'!$A$6:$A$505,A243),"Y","N"))</f>
        <v/>
      </c>
      <c r="AD243" s="15">
        <f>IF(A243="","",COUNTIF('Register'!$A$6:$A$505,A243))</f>
        <v/>
      </c>
      <c r="AE243" s="17" t="n"/>
      <c r="AF243" s="16" t="n"/>
      <c r="AG243" s="17" t="n"/>
      <c r="AH243" s="17" t="n"/>
      <c r="AI243" s="19">
        <f>IF(AE243="","",AE243+IF(AF243="",TA_NOC,AF243))</f>
        <v/>
      </c>
      <c r="AJ243" s="15">
        <f>IF(AE243="","",IF(AG243="",DATADATE,AG243)-AE243)</f>
        <v/>
      </c>
      <c r="AK243" s="15">
        <f>IF(OR(AI243="",AG243&lt;&gt;""),"",IF(DATADATE&gt;AI243,"OVERDUE",""))</f>
        <v/>
      </c>
      <c r="AL243" s="15">
        <f>IF(AH243="","",IF(AH243&lt;DATADATE,"EXPIRED",IF(AH243-DATADATE&lt;=WARN_EXP,"EXPIRING","")))</f>
        <v/>
      </c>
      <c r="AM243" s="16" t="n"/>
      <c r="AN243" s="16" t="n"/>
      <c r="AO243" s="16" t="n"/>
      <c r="AP243" s="16" t="n"/>
    </row>
    <row r="244">
      <c r="A244" s="15">
        <f>IF(AA244="","",PROJ&amp;"-NOC-"&amp;Z244&amp;"-"&amp;TEXT(AA244,"0000"))</f>
        <v/>
      </c>
      <c r="B244" s="15">
        <f>IF(AA244="","",PROJ)</f>
        <v/>
      </c>
      <c r="C244" s="16" t="n"/>
      <c r="D244" s="16" t="n"/>
      <c r="E244" s="16" t="n"/>
      <c r="F244" s="16" t="n"/>
      <c r="G244" s="16" t="n"/>
      <c r="H244" s="16" t="n"/>
      <c r="I244" s="16" t="n"/>
      <c r="J244" s="16" t="n"/>
      <c r="K244" s="16" t="n"/>
      <c r="L244" s="16" t="n"/>
      <c r="M244" s="16" t="n"/>
      <c r="N244" s="16" t="n"/>
      <c r="O244" s="17" t="n"/>
      <c r="P244" s="16" t="n"/>
      <c r="Q244" s="16" t="n"/>
      <c r="R244" s="16" t="n"/>
      <c r="S244" s="16" t="n"/>
      <c r="T244" s="16" t="n"/>
      <c r="U244" s="16" t="n"/>
      <c r="V244" s="16" t="n"/>
      <c r="W244" s="16" t="n"/>
      <c r="X244" s="16" t="n"/>
      <c r="Y244" s="16" t="n"/>
      <c r="Z244" s="16" t="n"/>
      <c r="AA244" s="16" t="n"/>
      <c r="AB244" s="18" t="n"/>
      <c r="AC244" s="15">
        <f>IF(A244="","",IF(AB244=_xlfn.MAXIFS('Register'!$AB$6:$AB$505,'Register'!$A$6:$A$505,A244),"Y","N"))</f>
        <v/>
      </c>
      <c r="AD244" s="15">
        <f>IF(A244="","",COUNTIF('Register'!$A$6:$A$505,A244))</f>
        <v/>
      </c>
      <c r="AE244" s="17" t="n"/>
      <c r="AF244" s="16" t="n"/>
      <c r="AG244" s="17" t="n"/>
      <c r="AH244" s="17" t="n"/>
      <c r="AI244" s="19">
        <f>IF(AE244="","",AE244+IF(AF244="",TA_NOC,AF244))</f>
        <v/>
      </c>
      <c r="AJ244" s="15">
        <f>IF(AE244="","",IF(AG244="",DATADATE,AG244)-AE244)</f>
        <v/>
      </c>
      <c r="AK244" s="15">
        <f>IF(OR(AI244="",AG244&lt;&gt;""),"",IF(DATADATE&gt;AI244,"OVERDUE",""))</f>
        <v/>
      </c>
      <c r="AL244" s="15">
        <f>IF(AH244="","",IF(AH244&lt;DATADATE,"EXPIRED",IF(AH244-DATADATE&lt;=WARN_EXP,"EXPIRING","")))</f>
        <v/>
      </c>
      <c r="AM244" s="16" t="n"/>
      <c r="AN244" s="16" t="n"/>
      <c r="AO244" s="16" t="n"/>
      <c r="AP244" s="16" t="n"/>
    </row>
    <row r="245">
      <c r="A245" s="15">
        <f>IF(AA245="","",PROJ&amp;"-NOC-"&amp;Z245&amp;"-"&amp;TEXT(AA245,"0000"))</f>
        <v/>
      </c>
      <c r="B245" s="15">
        <f>IF(AA245="","",PROJ)</f>
        <v/>
      </c>
      <c r="C245" s="16" t="n"/>
      <c r="D245" s="16" t="n"/>
      <c r="E245" s="16" t="n"/>
      <c r="F245" s="16" t="n"/>
      <c r="G245" s="16" t="n"/>
      <c r="H245" s="16" t="n"/>
      <c r="I245" s="16" t="n"/>
      <c r="J245" s="16" t="n"/>
      <c r="K245" s="16" t="n"/>
      <c r="L245" s="16" t="n"/>
      <c r="M245" s="16" t="n"/>
      <c r="N245" s="16" t="n"/>
      <c r="O245" s="17" t="n"/>
      <c r="P245" s="16" t="n"/>
      <c r="Q245" s="16" t="n"/>
      <c r="R245" s="16" t="n"/>
      <c r="S245" s="16" t="n"/>
      <c r="T245" s="16" t="n"/>
      <c r="U245" s="16" t="n"/>
      <c r="V245" s="16" t="n"/>
      <c r="W245" s="16" t="n"/>
      <c r="X245" s="16" t="n"/>
      <c r="Y245" s="16" t="n"/>
      <c r="Z245" s="16" t="n"/>
      <c r="AA245" s="16" t="n"/>
      <c r="AB245" s="18" t="n"/>
      <c r="AC245" s="15">
        <f>IF(A245="","",IF(AB245=_xlfn.MAXIFS('Register'!$AB$6:$AB$505,'Register'!$A$6:$A$505,A245),"Y","N"))</f>
        <v/>
      </c>
      <c r="AD245" s="15">
        <f>IF(A245="","",COUNTIF('Register'!$A$6:$A$505,A245))</f>
        <v/>
      </c>
      <c r="AE245" s="17" t="n"/>
      <c r="AF245" s="16" t="n"/>
      <c r="AG245" s="17" t="n"/>
      <c r="AH245" s="17" t="n"/>
      <c r="AI245" s="19">
        <f>IF(AE245="","",AE245+IF(AF245="",TA_NOC,AF245))</f>
        <v/>
      </c>
      <c r="AJ245" s="15">
        <f>IF(AE245="","",IF(AG245="",DATADATE,AG245)-AE245)</f>
        <v/>
      </c>
      <c r="AK245" s="15">
        <f>IF(OR(AI245="",AG245&lt;&gt;""),"",IF(DATADATE&gt;AI245,"OVERDUE",""))</f>
        <v/>
      </c>
      <c r="AL245" s="15">
        <f>IF(AH245="","",IF(AH245&lt;DATADATE,"EXPIRED",IF(AH245-DATADATE&lt;=WARN_EXP,"EXPIRING","")))</f>
        <v/>
      </c>
      <c r="AM245" s="16" t="n"/>
      <c r="AN245" s="16" t="n"/>
      <c r="AO245" s="16" t="n"/>
      <c r="AP245" s="16" t="n"/>
    </row>
    <row r="246">
      <c r="A246" s="15">
        <f>IF(AA246="","",PROJ&amp;"-NOC-"&amp;Z246&amp;"-"&amp;TEXT(AA246,"0000"))</f>
        <v/>
      </c>
      <c r="B246" s="15">
        <f>IF(AA246="","",PROJ)</f>
        <v/>
      </c>
      <c r="C246" s="16" t="n"/>
      <c r="D246" s="16" t="n"/>
      <c r="E246" s="16" t="n"/>
      <c r="F246" s="16" t="n"/>
      <c r="G246" s="16" t="n"/>
      <c r="H246" s="16" t="n"/>
      <c r="I246" s="16" t="n"/>
      <c r="J246" s="16" t="n"/>
      <c r="K246" s="16" t="n"/>
      <c r="L246" s="16" t="n"/>
      <c r="M246" s="16" t="n"/>
      <c r="N246" s="16" t="n"/>
      <c r="O246" s="17" t="n"/>
      <c r="P246" s="16" t="n"/>
      <c r="Q246" s="16" t="n"/>
      <c r="R246" s="16" t="n"/>
      <c r="S246" s="16" t="n"/>
      <c r="T246" s="16" t="n"/>
      <c r="U246" s="16" t="n"/>
      <c r="V246" s="16" t="n"/>
      <c r="W246" s="16" t="n"/>
      <c r="X246" s="16" t="n"/>
      <c r="Y246" s="16" t="n"/>
      <c r="Z246" s="16" t="n"/>
      <c r="AA246" s="16" t="n"/>
      <c r="AB246" s="18" t="n"/>
      <c r="AC246" s="15">
        <f>IF(A246="","",IF(AB246=_xlfn.MAXIFS('Register'!$AB$6:$AB$505,'Register'!$A$6:$A$505,A246),"Y","N"))</f>
        <v/>
      </c>
      <c r="AD246" s="15">
        <f>IF(A246="","",COUNTIF('Register'!$A$6:$A$505,A246))</f>
        <v/>
      </c>
      <c r="AE246" s="17" t="n"/>
      <c r="AF246" s="16" t="n"/>
      <c r="AG246" s="17" t="n"/>
      <c r="AH246" s="17" t="n"/>
      <c r="AI246" s="19">
        <f>IF(AE246="","",AE246+IF(AF246="",TA_NOC,AF246))</f>
        <v/>
      </c>
      <c r="AJ246" s="15">
        <f>IF(AE246="","",IF(AG246="",DATADATE,AG246)-AE246)</f>
        <v/>
      </c>
      <c r="AK246" s="15">
        <f>IF(OR(AI246="",AG246&lt;&gt;""),"",IF(DATADATE&gt;AI246,"OVERDUE",""))</f>
        <v/>
      </c>
      <c r="AL246" s="15">
        <f>IF(AH246="","",IF(AH246&lt;DATADATE,"EXPIRED",IF(AH246-DATADATE&lt;=WARN_EXP,"EXPIRING","")))</f>
        <v/>
      </c>
      <c r="AM246" s="16" t="n"/>
      <c r="AN246" s="16" t="n"/>
      <c r="AO246" s="16" t="n"/>
      <c r="AP246" s="16" t="n"/>
    </row>
    <row r="247">
      <c r="A247" s="15">
        <f>IF(AA247="","",PROJ&amp;"-NOC-"&amp;Z247&amp;"-"&amp;TEXT(AA247,"0000"))</f>
        <v/>
      </c>
      <c r="B247" s="15">
        <f>IF(AA247="","",PROJ)</f>
        <v/>
      </c>
      <c r="C247" s="16" t="n"/>
      <c r="D247" s="16" t="n"/>
      <c r="E247" s="16" t="n"/>
      <c r="F247" s="16" t="n"/>
      <c r="G247" s="16" t="n"/>
      <c r="H247" s="16" t="n"/>
      <c r="I247" s="16" t="n"/>
      <c r="J247" s="16" t="n"/>
      <c r="K247" s="16" t="n"/>
      <c r="L247" s="16" t="n"/>
      <c r="M247" s="16" t="n"/>
      <c r="N247" s="16" t="n"/>
      <c r="O247" s="17" t="n"/>
      <c r="P247" s="16" t="n"/>
      <c r="Q247" s="16" t="n"/>
      <c r="R247" s="16" t="n"/>
      <c r="S247" s="16" t="n"/>
      <c r="T247" s="16" t="n"/>
      <c r="U247" s="16" t="n"/>
      <c r="V247" s="16" t="n"/>
      <c r="W247" s="16" t="n"/>
      <c r="X247" s="16" t="n"/>
      <c r="Y247" s="16" t="n"/>
      <c r="Z247" s="16" t="n"/>
      <c r="AA247" s="16" t="n"/>
      <c r="AB247" s="18" t="n"/>
      <c r="AC247" s="15">
        <f>IF(A247="","",IF(AB247=_xlfn.MAXIFS('Register'!$AB$6:$AB$505,'Register'!$A$6:$A$505,A247),"Y","N"))</f>
        <v/>
      </c>
      <c r="AD247" s="15">
        <f>IF(A247="","",COUNTIF('Register'!$A$6:$A$505,A247))</f>
        <v/>
      </c>
      <c r="AE247" s="17" t="n"/>
      <c r="AF247" s="16" t="n"/>
      <c r="AG247" s="17" t="n"/>
      <c r="AH247" s="17" t="n"/>
      <c r="AI247" s="19">
        <f>IF(AE247="","",AE247+IF(AF247="",TA_NOC,AF247))</f>
        <v/>
      </c>
      <c r="AJ247" s="15">
        <f>IF(AE247="","",IF(AG247="",DATADATE,AG247)-AE247)</f>
        <v/>
      </c>
      <c r="AK247" s="15">
        <f>IF(OR(AI247="",AG247&lt;&gt;""),"",IF(DATADATE&gt;AI247,"OVERDUE",""))</f>
        <v/>
      </c>
      <c r="AL247" s="15">
        <f>IF(AH247="","",IF(AH247&lt;DATADATE,"EXPIRED",IF(AH247-DATADATE&lt;=WARN_EXP,"EXPIRING","")))</f>
        <v/>
      </c>
      <c r="AM247" s="16" t="n"/>
      <c r="AN247" s="16" t="n"/>
      <c r="AO247" s="16" t="n"/>
      <c r="AP247" s="16" t="n"/>
    </row>
    <row r="248">
      <c r="A248" s="15">
        <f>IF(AA248="","",PROJ&amp;"-NOC-"&amp;Z248&amp;"-"&amp;TEXT(AA248,"0000"))</f>
        <v/>
      </c>
      <c r="B248" s="15">
        <f>IF(AA248="","",PROJ)</f>
        <v/>
      </c>
      <c r="C248" s="16" t="n"/>
      <c r="D248" s="16" t="n"/>
      <c r="E248" s="16" t="n"/>
      <c r="F248" s="16" t="n"/>
      <c r="G248" s="16" t="n"/>
      <c r="H248" s="16" t="n"/>
      <c r="I248" s="16" t="n"/>
      <c r="J248" s="16" t="n"/>
      <c r="K248" s="16" t="n"/>
      <c r="L248" s="16" t="n"/>
      <c r="M248" s="16" t="n"/>
      <c r="N248" s="16" t="n"/>
      <c r="O248" s="17" t="n"/>
      <c r="P248" s="16" t="n"/>
      <c r="Q248" s="16" t="n"/>
      <c r="R248" s="16" t="n"/>
      <c r="S248" s="16" t="n"/>
      <c r="T248" s="16" t="n"/>
      <c r="U248" s="16" t="n"/>
      <c r="V248" s="16" t="n"/>
      <c r="W248" s="16" t="n"/>
      <c r="X248" s="16" t="n"/>
      <c r="Y248" s="16" t="n"/>
      <c r="Z248" s="16" t="n"/>
      <c r="AA248" s="16" t="n"/>
      <c r="AB248" s="18" t="n"/>
      <c r="AC248" s="15">
        <f>IF(A248="","",IF(AB248=_xlfn.MAXIFS('Register'!$AB$6:$AB$505,'Register'!$A$6:$A$505,A248),"Y","N"))</f>
        <v/>
      </c>
      <c r="AD248" s="15">
        <f>IF(A248="","",COUNTIF('Register'!$A$6:$A$505,A248))</f>
        <v/>
      </c>
      <c r="AE248" s="17" t="n"/>
      <c r="AF248" s="16" t="n"/>
      <c r="AG248" s="17" t="n"/>
      <c r="AH248" s="17" t="n"/>
      <c r="AI248" s="19">
        <f>IF(AE248="","",AE248+IF(AF248="",TA_NOC,AF248))</f>
        <v/>
      </c>
      <c r="AJ248" s="15">
        <f>IF(AE248="","",IF(AG248="",DATADATE,AG248)-AE248)</f>
        <v/>
      </c>
      <c r="AK248" s="15">
        <f>IF(OR(AI248="",AG248&lt;&gt;""),"",IF(DATADATE&gt;AI248,"OVERDUE",""))</f>
        <v/>
      </c>
      <c r="AL248" s="15">
        <f>IF(AH248="","",IF(AH248&lt;DATADATE,"EXPIRED",IF(AH248-DATADATE&lt;=WARN_EXP,"EXPIRING","")))</f>
        <v/>
      </c>
      <c r="AM248" s="16" t="n"/>
      <c r="AN248" s="16" t="n"/>
      <c r="AO248" s="16" t="n"/>
      <c r="AP248" s="16" t="n"/>
    </row>
    <row r="249">
      <c r="A249" s="15">
        <f>IF(AA249="","",PROJ&amp;"-NOC-"&amp;Z249&amp;"-"&amp;TEXT(AA249,"0000"))</f>
        <v/>
      </c>
      <c r="B249" s="15">
        <f>IF(AA249="","",PROJ)</f>
        <v/>
      </c>
      <c r="C249" s="16" t="n"/>
      <c r="D249" s="16" t="n"/>
      <c r="E249" s="16" t="n"/>
      <c r="F249" s="16" t="n"/>
      <c r="G249" s="16" t="n"/>
      <c r="H249" s="16" t="n"/>
      <c r="I249" s="16" t="n"/>
      <c r="J249" s="16" t="n"/>
      <c r="K249" s="16" t="n"/>
      <c r="L249" s="16" t="n"/>
      <c r="M249" s="16" t="n"/>
      <c r="N249" s="16" t="n"/>
      <c r="O249" s="17" t="n"/>
      <c r="P249" s="16" t="n"/>
      <c r="Q249" s="16" t="n"/>
      <c r="R249" s="16" t="n"/>
      <c r="S249" s="16" t="n"/>
      <c r="T249" s="16" t="n"/>
      <c r="U249" s="16" t="n"/>
      <c r="V249" s="16" t="n"/>
      <c r="W249" s="16" t="n"/>
      <c r="X249" s="16" t="n"/>
      <c r="Y249" s="16" t="n"/>
      <c r="Z249" s="16" t="n"/>
      <c r="AA249" s="16" t="n"/>
      <c r="AB249" s="18" t="n"/>
      <c r="AC249" s="15">
        <f>IF(A249="","",IF(AB249=_xlfn.MAXIFS('Register'!$AB$6:$AB$505,'Register'!$A$6:$A$505,A249),"Y","N"))</f>
        <v/>
      </c>
      <c r="AD249" s="15">
        <f>IF(A249="","",COUNTIF('Register'!$A$6:$A$505,A249))</f>
        <v/>
      </c>
      <c r="AE249" s="17" t="n"/>
      <c r="AF249" s="16" t="n"/>
      <c r="AG249" s="17" t="n"/>
      <c r="AH249" s="17" t="n"/>
      <c r="AI249" s="19">
        <f>IF(AE249="","",AE249+IF(AF249="",TA_NOC,AF249))</f>
        <v/>
      </c>
      <c r="AJ249" s="15">
        <f>IF(AE249="","",IF(AG249="",DATADATE,AG249)-AE249)</f>
        <v/>
      </c>
      <c r="AK249" s="15">
        <f>IF(OR(AI249="",AG249&lt;&gt;""),"",IF(DATADATE&gt;AI249,"OVERDUE",""))</f>
        <v/>
      </c>
      <c r="AL249" s="15">
        <f>IF(AH249="","",IF(AH249&lt;DATADATE,"EXPIRED",IF(AH249-DATADATE&lt;=WARN_EXP,"EXPIRING","")))</f>
        <v/>
      </c>
      <c r="AM249" s="16" t="n"/>
      <c r="AN249" s="16" t="n"/>
      <c r="AO249" s="16" t="n"/>
      <c r="AP249" s="16" t="n"/>
    </row>
    <row r="250">
      <c r="A250" s="15">
        <f>IF(AA250="","",PROJ&amp;"-NOC-"&amp;Z250&amp;"-"&amp;TEXT(AA250,"0000"))</f>
        <v/>
      </c>
      <c r="B250" s="15">
        <f>IF(AA250="","",PROJ)</f>
        <v/>
      </c>
      <c r="C250" s="16" t="n"/>
      <c r="D250" s="16" t="n"/>
      <c r="E250" s="16" t="n"/>
      <c r="F250" s="16" t="n"/>
      <c r="G250" s="16" t="n"/>
      <c r="H250" s="16" t="n"/>
      <c r="I250" s="16" t="n"/>
      <c r="J250" s="16" t="n"/>
      <c r="K250" s="16" t="n"/>
      <c r="L250" s="16" t="n"/>
      <c r="M250" s="16" t="n"/>
      <c r="N250" s="16" t="n"/>
      <c r="O250" s="17" t="n"/>
      <c r="P250" s="16" t="n"/>
      <c r="Q250" s="16" t="n"/>
      <c r="R250" s="16" t="n"/>
      <c r="S250" s="16" t="n"/>
      <c r="T250" s="16" t="n"/>
      <c r="U250" s="16" t="n"/>
      <c r="V250" s="16" t="n"/>
      <c r="W250" s="16" t="n"/>
      <c r="X250" s="16" t="n"/>
      <c r="Y250" s="16" t="n"/>
      <c r="Z250" s="16" t="n"/>
      <c r="AA250" s="16" t="n"/>
      <c r="AB250" s="18" t="n"/>
      <c r="AC250" s="15">
        <f>IF(A250="","",IF(AB250=_xlfn.MAXIFS('Register'!$AB$6:$AB$505,'Register'!$A$6:$A$505,A250),"Y","N"))</f>
        <v/>
      </c>
      <c r="AD250" s="15">
        <f>IF(A250="","",COUNTIF('Register'!$A$6:$A$505,A250))</f>
        <v/>
      </c>
      <c r="AE250" s="17" t="n"/>
      <c r="AF250" s="16" t="n"/>
      <c r="AG250" s="17" t="n"/>
      <c r="AH250" s="17" t="n"/>
      <c r="AI250" s="19">
        <f>IF(AE250="","",AE250+IF(AF250="",TA_NOC,AF250))</f>
        <v/>
      </c>
      <c r="AJ250" s="15">
        <f>IF(AE250="","",IF(AG250="",DATADATE,AG250)-AE250)</f>
        <v/>
      </c>
      <c r="AK250" s="15">
        <f>IF(OR(AI250="",AG250&lt;&gt;""),"",IF(DATADATE&gt;AI250,"OVERDUE",""))</f>
        <v/>
      </c>
      <c r="AL250" s="15">
        <f>IF(AH250="","",IF(AH250&lt;DATADATE,"EXPIRED",IF(AH250-DATADATE&lt;=WARN_EXP,"EXPIRING","")))</f>
        <v/>
      </c>
      <c r="AM250" s="16" t="n"/>
      <c r="AN250" s="16" t="n"/>
      <c r="AO250" s="16" t="n"/>
      <c r="AP250" s="16" t="n"/>
    </row>
    <row r="251">
      <c r="A251" s="15">
        <f>IF(AA251="","",PROJ&amp;"-NOC-"&amp;Z251&amp;"-"&amp;TEXT(AA251,"0000"))</f>
        <v/>
      </c>
      <c r="B251" s="15">
        <f>IF(AA251="","",PROJ)</f>
        <v/>
      </c>
      <c r="C251" s="16" t="n"/>
      <c r="D251" s="16" t="n"/>
      <c r="E251" s="16" t="n"/>
      <c r="F251" s="16" t="n"/>
      <c r="G251" s="16" t="n"/>
      <c r="H251" s="16" t="n"/>
      <c r="I251" s="16" t="n"/>
      <c r="J251" s="16" t="n"/>
      <c r="K251" s="16" t="n"/>
      <c r="L251" s="16" t="n"/>
      <c r="M251" s="16" t="n"/>
      <c r="N251" s="16" t="n"/>
      <c r="O251" s="17" t="n"/>
      <c r="P251" s="16" t="n"/>
      <c r="Q251" s="16" t="n"/>
      <c r="R251" s="16" t="n"/>
      <c r="S251" s="16" t="n"/>
      <c r="T251" s="16" t="n"/>
      <c r="U251" s="16" t="n"/>
      <c r="V251" s="16" t="n"/>
      <c r="W251" s="16" t="n"/>
      <c r="X251" s="16" t="n"/>
      <c r="Y251" s="16" t="n"/>
      <c r="Z251" s="16" t="n"/>
      <c r="AA251" s="16" t="n"/>
      <c r="AB251" s="18" t="n"/>
      <c r="AC251" s="15">
        <f>IF(A251="","",IF(AB251=_xlfn.MAXIFS('Register'!$AB$6:$AB$505,'Register'!$A$6:$A$505,A251),"Y","N"))</f>
        <v/>
      </c>
      <c r="AD251" s="15">
        <f>IF(A251="","",COUNTIF('Register'!$A$6:$A$505,A251))</f>
        <v/>
      </c>
      <c r="AE251" s="17" t="n"/>
      <c r="AF251" s="16" t="n"/>
      <c r="AG251" s="17" t="n"/>
      <c r="AH251" s="17" t="n"/>
      <c r="AI251" s="19">
        <f>IF(AE251="","",AE251+IF(AF251="",TA_NOC,AF251))</f>
        <v/>
      </c>
      <c r="AJ251" s="15">
        <f>IF(AE251="","",IF(AG251="",DATADATE,AG251)-AE251)</f>
        <v/>
      </c>
      <c r="AK251" s="15">
        <f>IF(OR(AI251="",AG251&lt;&gt;""),"",IF(DATADATE&gt;AI251,"OVERDUE",""))</f>
        <v/>
      </c>
      <c r="AL251" s="15">
        <f>IF(AH251="","",IF(AH251&lt;DATADATE,"EXPIRED",IF(AH251-DATADATE&lt;=WARN_EXP,"EXPIRING","")))</f>
        <v/>
      </c>
      <c r="AM251" s="16" t="n"/>
      <c r="AN251" s="16" t="n"/>
      <c r="AO251" s="16" t="n"/>
      <c r="AP251" s="16" t="n"/>
    </row>
    <row r="252">
      <c r="A252" s="15">
        <f>IF(AA252="","",PROJ&amp;"-NOC-"&amp;Z252&amp;"-"&amp;TEXT(AA252,"0000"))</f>
        <v/>
      </c>
      <c r="B252" s="15">
        <f>IF(AA252="","",PROJ)</f>
        <v/>
      </c>
      <c r="C252" s="16" t="n"/>
      <c r="D252" s="16" t="n"/>
      <c r="E252" s="16" t="n"/>
      <c r="F252" s="16" t="n"/>
      <c r="G252" s="16" t="n"/>
      <c r="H252" s="16" t="n"/>
      <c r="I252" s="16" t="n"/>
      <c r="J252" s="16" t="n"/>
      <c r="K252" s="16" t="n"/>
      <c r="L252" s="16" t="n"/>
      <c r="M252" s="16" t="n"/>
      <c r="N252" s="16" t="n"/>
      <c r="O252" s="17" t="n"/>
      <c r="P252" s="16" t="n"/>
      <c r="Q252" s="16" t="n"/>
      <c r="R252" s="16" t="n"/>
      <c r="S252" s="16" t="n"/>
      <c r="T252" s="16" t="n"/>
      <c r="U252" s="16" t="n"/>
      <c r="V252" s="16" t="n"/>
      <c r="W252" s="16" t="n"/>
      <c r="X252" s="16" t="n"/>
      <c r="Y252" s="16" t="n"/>
      <c r="Z252" s="16" t="n"/>
      <c r="AA252" s="16" t="n"/>
      <c r="AB252" s="18" t="n"/>
      <c r="AC252" s="15">
        <f>IF(A252="","",IF(AB252=_xlfn.MAXIFS('Register'!$AB$6:$AB$505,'Register'!$A$6:$A$505,A252),"Y","N"))</f>
        <v/>
      </c>
      <c r="AD252" s="15">
        <f>IF(A252="","",COUNTIF('Register'!$A$6:$A$505,A252))</f>
        <v/>
      </c>
      <c r="AE252" s="17" t="n"/>
      <c r="AF252" s="16" t="n"/>
      <c r="AG252" s="17" t="n"/>
      <c r="AH252" s="17" t="n"/>
      <c r="AI252" s="19">
        <f>IF(AE252="","",AE252+IF(AF252="",TA_NOC,AF252))</f>
        <v/>
      </c>
      <c r="AJ252" s="15">
        <f>IF(AE252="","",IF(AG252="",DATADATE,AG252)-AE252)</f>
        <v/>
      </c>
      <c r="AK252" s="15">
        <f>IF(OR(AI252="",AG252&lt;&gt;""),"",IF(DATADATE&gt;AI252,"OVERDUE",""))</f>
        <v/>
      </c>
      <c r="AL252" s="15">
        <f>IF(AH252="","",IF(AH252&lt;DATADATE,"EXPIRED",IF(AH252-DATADATE&lt;=WARN_EXP,"EXPIRING","")))</f>
        <v/>
      </c>
      <c r="AM252" s="16" t="n"/>
      <c r="AN252" s="16" t="n"/>
      <c r="AO252" s="16" t="n"/>
      <c r="AP252" s="16" t="n"/>
    </row>
    <row r="253">
      <c r="A253" s="15">
        <f>IF(AA253="","",PROJ&amp;"-NOC-"&amp;Z253&amp;"-"&amp;TEXT(AA253,"0000"))</f>
        <v/>
      </c>
      <c r="B253" s="15">
        <f>IF(AA253="","",PROJ)</f>
        <v/>
      </c>
      <c r="C253" s="16" t="n"/>
      <c r="D253" s="16" t="n"/>
      <c r="E253" s="16" t="n"/>
      <c r="F253" s="16" t="n"/>
      <c r="G253" s="16" t="n"/>
      <c r="H253" s="16" t="n"/>
      <c r="I253" s="16" t="n"/>
      <c r="J253" s="16" t="n"/>
      <c r="K253" s="16" t="n"/>
      <c r="L253" s="16" t="n"/>
      <c r="M253" s="16" t="n"/>
      <c r="N253" s="16" t="n"/>
      <c r="O253" s="17" t="n"/>
      <c r="P253" s="16" t="n"/>
      <c r="Q253" s="16" t="n"/>
      <c r="R253" s="16" t="n"/>
      <c r="S253" s="16" t="n"/>
      <c r="T253" s="16" t="n"/>
      <c r="U253" s="16" t="n"/>
      <c r="V253" s="16" t="n"/>
      <c r="W253" s="16" t="n"/>
      <c r="X253" s="16" t="n"/>
      <c r="Y253" s="16" t="n"/>
      <c r="Z253" s="16" t="n"/>
      <c r="AA253" s="16" t="n"/>
      <c r="AB253" s="18" t="n"/>
      <c r="AC253" s="15">
        <f>IF(A253="","",IF(AB253=_xlfn.MAXIFS('Register'!$AB$6:$AB$505,'Register'!$A$6:$A$505,A253),"Y","N"))</f>
        <v/>
      </c>
      <c r="AD253" s="15">
        <f>IF(A253="","",COUNTIF('Register'!$A$6:$A$505,A253))</f>
        <v/>
      </c>
      <c r="AE253" s="17" t="n"/>
      <c r="AF253" s="16" t="n"/>
      <c r="AG253" s="17" t="n"/>
      <c r="AH253" s="17" t="n"/>
      <c r="AI253" s="19">
        <f>IF(AE253="","",AE253+IF(AF253="",TA_NOC,AF253))</f>
        <v/>
      </c>
      <c r="AJ253" s="15">
        <f>IF(AE253="","",IF(AG253="",DATADATE,AG253)-AE253)</f>
        <v/>
      </c>
      <c r="AK253" s="15">
        <f>IF(OR(AI253="",AG253&lt;&gt;""),"",IF(DATADATE&gt;AI253,"OVERDUE",""))</f>
        <v/>
      </c>
      <c r="AL253" s="15">
        <f>IF(AH253="","",IF(AH253&lt;DATADATE,"EXPIRED",IF(AH253-DATADATE&lt;=WARN_EXP,"EXPIRING","")))</f>
        <v/>
      </c>
      <c r="AM253" s="16" t="n"/>
      <c r="AN253" s="16" t="n"/>
      <c r="AO253" s="16" t="n"/>
      <c r="AP253" s="16" t="n"/>
    </row>
    <row r="254">
      <c r="A254" s="15">
        <f>IF(AA254="","",PROJ&amp;"-NOC-"&amp;Z254&amp;"-"&amp;TEXT(AA254,"0000"))</f>
        <v/>
      </c>
      <c r="B254" s="15">
        <f>IF(AA254="","",PROJ)</f>
        <v/>
      </c>
      <c r="C254" s="16" t="n"/>
      <c r="D254" s="16" t="n"/>
      <c r="E254" s="16" t="n"/>
      <c r="F254" s="16" t="n"/>
      <c r="G254" s="16" t="n"/>
      <c r="H254" s="16" t="n"/>
      <c r="I254" s="16" t="n"/>
      <c r="J254" s="16" t="n"/>
      <c r="K254" s="16" t="n"/>
      <c r="L254" s="16" t="n"/>
      <c r="M254" s="16" t="n"/>
      <c r="N254" s="16" t="n"/>
      <c r="O254" s="17" t="n"/>
      <c r="P254" s="16" t="n"/>
      <c r="Q254" s="16" t="n"/>
      <c r="R254" s="16" t="n"/>
      <c r="S254" s="16" t="n"/>
      <c r="T254" s="16" t="n"/>
      <c r="U254" s="16" t="n"/>
      <c r="V254" s="16" t="n"/>
      <c r="W254" s="16" t="n"/>
      <c r="X254" s="16" t="n"/>
      <c r="Y254" s="16" t="n"/>
      <c r="Z254" s="16" t="n"/>
      <c r="AA254" s="16" t="n"/>
      <c r="AB254" s="18" t="n"/>
      <c r="AC254" s="15">
        <f>IF(A254="","",IF(AB254=_xlfn.MAXIFS('Register'!$AB$6:$AB$505,'Register'!$A$6:$A$505,A254),"Y","N"))</f>
        <v/>
      </c>
      <c r="AD254" s="15">
        <f>IF(A254="","",COUNTIF('Register'!$A$6:$A$505,A254))</f>
        <v/>
      </c>
      <c r="AE254" s="17" t="n"/>
      <c r="AF254" s="16" t="n"/>
      <c r="AG254" s="17" t="n"/>
      <c r="AH254" s="17" t="n"/>
      <c r="AI254" s="19">
        <f>IF(AE254="","",AE254+IF(AF254="",TA_NOC,AF254))</f>
        <v/>
      </c>
      <c r="AJ254" s="15">
        <f>IF(AE254="","",IF(AG254="",DATADATE,AG254)-AE254)</f>
        <v/>
      </c>
      <c r="AK254" s="15">
        <f>IF(OR(AI254="",AG254&lt;&gt;""),"",IF(DATADATE&gt;AI254,"OVERDUE",""))</f>
        <v/>
      </c>
      <c r="AL254" s="15">
        <f>IF(AH254="","",IF(AH254&lt;DATADATE,"EXPIRED",IF(AH254-DATADATE&lt;=WARN_EXP,"EXPIRING","")))</f>
        <v/>
      </c>
      <c r="AM254" s="16" t="n"/>
      <c r="AN254" s="16" t="n"/>
      <c r="AO254" s="16" t="n"/>
      <c r="AP254" s="16" t="n"/>
    </row>
    <row r="255">
      <c r="A255" s="15">
        <f>IF(AA255="","",PROJ&amp;"-NOC-"&amp;Z255&amp;"-"&amp;TEXT(AA255,"0000"))</f>
        <v/>
      </c>
      <c r="B255" s="15">
        <f>IF(AA255="","",PROJ)</f>
        <v/>
      </c>
      <c r="C255" s="16" t="n"/>
      <c r="D255" s="16" t="n"/>
      <c r="E255" s="16" t="n"/>
      <c r="F255" s="16" t="n"/>
      <c r="G255" s="16" t="n"/>
      <c r="H255" s="16" t="n"/>
      <c r="I255" s="16" t="n"/>
      <c r="J255" s="16" t="n"/>
      <c r="K255" s="16" t="n"/>
      <c r="L255" s="16" t="n"/>
      <c r="M255" s="16" t="n"/>
      <c r="N255" s="16" t="n"/>
      <c r="O255" s="17" t="n"/>
      <c r="P255" s="16" t="n"/>
      <c r="Q255" s="16" t="n"/>
      <c r="R255" s="16" t="n"/>
      <c r="S255" s="16" t="n"/>
      <c r="T255" s="16" t="n"/>
      <c r="U255" s="16" t="n"/>
      <c r="V255" s="16" t="n"/>
      <c r="W255" s="16" t="n"/>
      <c r="X255" s="16" t="n"/>
      <c r="Y255" s="16" t="n"/>
      <c r="Z255" s="16" t="n"/>
      <c r="AA255" s="16" t="n"/>
      <c r="AB255" s="18" t="n"/>
      <c r="AC255" s="15">
        <f>IF(A255="","",IF(AB255=_xlfn.MAXIFS('Register'!$AB$6:$AB$505,'Register'!$A$6:$A$505,A255),"Y","N"))</f>
        <v/>
      </c>
      <c r="AD255" s="15">
        <f>IF(A255="","",COUNTIF('Register'!$A$6:$A$505,A255))</f>
        <v/>
      </c>
      <c r="AE255" s="17" t="n"/>
      <c r="AF255" s="16" t="n"/>
      <c r="AG255" s="17" t="n"/>
      <c r="AH255" s="17" t="n"/>
      <c r="AI255" s="19">
        <f>IF(AE255="","",AE255+IF(AF255="",TA_NOC,AF255))</f>
        <v/>
      </c>
      <c r="AJ255" s="15">
        <f>IF(AE255="","",IF(AG255="",DATADATE,AG255)-AE255)</f>
        <v/>
      </c>
      <c r="AK255" s="15">
        <f>IF(OR(AI255="",AG255&lt;&gt;""),"",IF(DATADATE&gt;AI255,"OVERDUE",""))</f>
        <v/>
      </c>
      <c r="AL255" s="15">
        <f>IF(AH255="","",IF(AH255&lt;DATADATE,"EXPIRED",IF(AH255-DATADATE&lt;=WARN_EXP,"EXPIRING","")))</f>
        <v/>
      </c>
      <c r="AM255" s="16" t="n"/>
      <c r="AN255" s="16" t="n"/>
      <c r="AO255" s="16" t="n"/>
      <c r="AP255" s="16" t="n"/>
    </row>
    <row r="256">
      <c r="A256" s="15">
        <f>IF(AA256="","",PROJ&amp;"-NOC-"&amp;Z256&amp;"-"&amp;TEXT(AA256,"0000"))</f>
        <v/>
      </c>
      <c r="B256" s="15">
        <f>IF(AA256="","",PROJ)</f>
        <v/>
      </c>
      <c r="C256" s="16" t="n"/>
      <c r="D256" s="16" t="n"/>
      <c r="E256" s="16" t="n"/>
      <c r="F256" s="16" t="n"/>
      <c r="G256" s="16" t="n"/>
      <c r="H256" s="16" t="n"/>
      <c r="I256" s="16" t="n"/>
      <c r="J256" s="16" t="n"/>
      <c r="K256" s="16" t="n"/>
      <c r="L256" s="16" t="n"/>
      <c r="M256" s="16" t="n"/>
      <c r="N256" s="16" t="n"/>
      <c r="O256" s="17" t="n"/>
      <c r="P256" s="16" t="n"/>
      <c r="Q256" s="16" t="n"/>
      <c r="R256" s="16" t="n"/>
      <c r="S256" s="16" t="n"/>
      <c r="T256" s="16" t="n"/>
      <c r="U256" s="16" t="n"/>
      <c r="V256" s="16" t="n"/>
      <c r="W256" s="16" t="n"/>
      <c r="X256" s="16" t="n"/>
      <c r="Y256" s="16" t="n"/>
      <c r="Z256" s="16" t="n"/>
      <c r="AA256" s="16" t="n"/>
      <c r="AB256" s="18" t="n"/>
      <c r="AC256" s="15">
        <f>IF(A256="","",IF(AB256=_xlfn.MAXIFS('Register'!$AB$6:$AB$505,'Register'!$A$6:$A$505,A256),"Y","N"))</f>
        <v/>
      </c>
      <c r="AD256" s="15">
        <f>IF(A256="","",COUNTIF('Register'!$A$6:$A$505,A256))</f>
        <v/>
      </c>
      <c r="AE256" s="17" t="n"/>
      <c r="AF256" s="16" t="n"/>
      <c r="AG256" s="17" t="n"/>
      <c r="AH256" s="17" t="n"/>
      <c r="AI256" s="19">
        <f>IF(AE256="","",AE256+IF(AF256="",TA_NOC,AF256))</f>
        <v/>
      </c>
      <c r="AJ256" s="15">
        <f>IF(AE256="","",IF(AG256="",DATADATE,AG256)-AE256)</f>
        <v/>
      </c>
      <c r="AK256" s="15">
        <f>IF(OR(AI256="",AG256&lt;&gt;""),"",IF(DATADATE&gt;AI256,"OVERDUE",""))</f>
        <v/>
      </c>
      <c r="AL256" s="15">
        <f>IF(AH256="","",IF(AH256&lt;DATADATE,"EXPIRED",IF(AH256-DATADATE&lt;=WARN_EXP,"EXPIRING","")))</f>
        <v/>
      </c>
      <c r="AM256" s="16" t="n"/>
      <c r="AN256" s="16" t="n"/>
      <c r="AO256" s="16" t="n"/>
      <c r="AP256" s="16" t="n"/>
    </row>
    <row r="257">
      <c r="A257" s="15">
        <f>IF(AA257="","",PROJ&amp;"-NOC-"&amp;Z257&amp;"-"&amp;TEXT(AA257,"0000"))</f>
        <v/>
      </c>
      <c r="B257" s="15">
        <f>IF(AA257="","",PROJ)</f>
        <v/>
      </c>
      <c r="C257" s="16" t="n"/>
      <c r="D257" s="16" t="n"/>
      <c r="E257" s="16" t="n"/>
      <c r="F257" s="16" t="n"/>
      <c r="G257" s="16" t="n"/>
      <c r="H257" s="16" t="n"/>
      <c r="I257" s="16" t="n"/>
      <c r="J257" s="16" t="n"/>
      <c r="K257" s="16" t="n"/>
      <c r="L257" s="16" t="n"/>
      <c r="M257" s="16" t="n"/>
      <c r="N257" s="16" t="n"/>
      <c r="O257" s="17" t="n"/>
      <c r="P257" s="16" t="n"/>
      <c r="Q257" s="16" t="n"/>
      <c r="R257" s="16" t="n"/>
      <c r="S257" s="16" t="n"/>
      <c r="T257" s="16" t="n"/>
      <c r="U257" s="16" t="n"/>
      <c r="V257" s="16" t="n"/>
      <c r="W257" s="16" t="n"/>
      <c r="X257" s="16" t="n"/>
      <c r="Y257" s="16" t="n"/>
      <c r="Z257" s="16" t="n"/>
      <c r="AA257" s="16" t="n"/>
      <c r="AB257" s="18" t="n"/>
      <c r="AC257" s="15">
        <f>IF(A257="","",IF(AB257=_xlfn.MAXIFS('Register'!$AB$6:$AB$505,'Register'!$A$6:$A$505,A257),"Y","N"))</f>
        <v/>
      </c>
      <c r="AD257" s="15">
        <f>IF(A257="","",COUNTIF('Register'!$A$6:$A$505,A257))</f>
        <v/>
      </c>
      <c r="AE257" s="17" t="n"/>
      <c r="AF257" s="16" t="n"/>
      <c r="AG257" s="17" t="n"/>
      <c r="AH257" s="17" t="n"/>
      <c r="AI257" s="19">
        <f>IF(AE257="","",AE257+IF(AF257="",TA_NOC,AF257))</f>
        <v/>
      </c>
      <c r="AJ257" s="15">
        <f>IF(AE257="","",IF(AG257="",DATADATE,AG257)-AE257)</f>
        <v/>
      </c>
      <c r="AK257" s="15">
        <f>IF(OR(AI257="",AG257&lt;&gt;""),"",IF(DATADATE&gt;AI257,"OVERDUE",""))</f>
        <v/>
      </c>
      <c r="AL257" s="15">
        <f>IF(AH257="","",IF(AH257&lt;DATADATE,"EXPIRED",IF(AH257-DATADATE&lt;=WARN_EXP,"EXPIRING","")))</f>
        <v/>
      </c>
      <c r="AM257" s="16" t="n"/>
      <c r="AN257" s="16" t="n"/>
      <c r="AO257" s="16" t="n"/>
      <c r="AP257" s="16" t="n"/>
    </row>
    <row r="258">
      <c r="A258" s="15">
        <f>IF(AA258="","",PROJ&amp;"-NOC-"&amp;Z258&amp;"-"&amp;TEXT(AA258,"0000"))</f>
        <v/>
      </c>
      <c r="B258" s="15">
        <f>IF(AA258="","",PROJ)</f>
        <v/>
      </c>
      <c r="C258" s="16" t="n"/>
      <c r="D258" s="16" t="n"/>
      <c r="E258" s="16" t="n"/>
      <c r="F258" s="16" t="n"/>
      <c r="G258" s="16" t="n"/>
      <c r="H258" s="16" t="n"/>
      <c r="I258" s="16" t="n"/>
      <c r="J258" s="16" t="n"/>
      <c r="K258" s="16" t="n"/>
      <c r="L258" s="16" t="n"/>
      <c r="M258" s="16" t="n"/>
      <c r="N258" s="16" t="n"/>
      <c r="O258" s="17" t="n"/>
      <c r="P258" s="16" t="n"/>
      <c r="Q258" s="16" t="n"/>
      <c r="R258" s="16" t="n"/>
      <c r="S258" s="16" t="n"/>
      <c r="T258" s="16" t="n"/>
      <c r="U258" s="16" t="n"/>
      <c r="V258" s="16" t="n"/>
      <c r="W258" s="16" t="n"/>
      <c r="X258" s="16" t="n"/>
      <c r="Y258" s="16" t="n"/>
      <c r="Z258" s="16" t="n"/>
      <c r="AA258" s="16" t="n"/>
      <c r="AB258" s="18" t="n"/>
      <c r="AC258" s="15">
        <f>IF(A258="","",IF(AB258=_xlfn.MAXIFS('Register'!$AB$6:$AB$505,'Register'!$A$6:$A$505,A258),"Y","N"))</f>
        <v/>
      </c>
      <c r="AD258" s="15">
        <f>IF(A258="","",COUNTIF('Register'!$A$6:$A$505,A258))</f>
        <v/>
      </c>
      <c r="AE258" s="17" t="n"/>
      <c r="AF258" s="16" t="n"/>
      <c r="AG258" s="17" t="n"/>
      <c r="AH258" s="17" t="n"/>
      <c r="AI258" s="19">
        <f>IF(AE258="","",AE258+IF(AF258="",TA_NOC,AF258))</f>
        <v/>
      </c>
      <c r="AJ258" s="15">
        <f>IF(AE258="","",IF(AG258="",DATADATE,AG258)-AE258)</f>
        <v/>
      </c>
      <c r="AK258" s="15">
        <f>IF(OR(AI258="",AG258&lt;&gt;""),"",IF(DATADATE&gt;AI258,"OVERDUE",""))</f>
        <v/>
      </c>
      <c r="AL258" s="15">
        <f>IF(AH258="","",IF(AH258&lt;DATADATE,"EXPIRED",IF(AH258-DATADATE&lt;=WARN_EXP,"EXPIRING","")))</f>
        <v/>
      </c>
      <c r="AM258" s="16" t="n"/>
      <c r="AN258" s="16" t="n"/>
      <c r="AO258" s="16" t="n"/>
      <c r="AP258" s="16" t="n"/>
    </row>
    <row r="259">
      <c r="A259" s="15">
        <f>IF(AA259="","",PROJ&amp;"-NOC-"&amp;Z259&amp;"-"&amp;TEXT(AA259,"0000"))</f>
        <v/>
      </c>
      <c r="B259" s="15">
        <f>IF(AA259="","",PROJ)</f>
        <v/>
      </c>
      <c r="C259" s="16" t="n"/>
      <c r="D259" s="16" t="n"/>
      <c r="E259" s="16" t="n"/>
      <c r="F259" s="16" t="n"/>
      <c r="G259" s="16" t="n"/>
      <c r="H259" s="16" t="n"/>
      <c r="I259" s="16" t="n"/>
      <c r="J259" s="16" t="n"/>
      <c r="K259" s="16" t="n"/>
      <c r="L259" s="16" t="n"/>
      <c r="M259" s="16" t="n"/>
      <c r="N259" s="16" t="n"/>
      <c r="O259" s="17" t="n"/>
      <c r="P259" s="16" t="n"/>
      <c r="Q259" s="16" t="n"/>
      <c r="R259" s="16" t="n"/>
      <c r="S259" s="16" t="n"/>
      <c r="T259" s="16" t="n"/>
      <c r="U259" s="16" t="n"/>
      <c r="V259" s="16" t="n"/>
      <c r="W259" s="16" t="n"/>
      <c r="X259" s="16" t="n"/>
      <c r="Y259" s="16" t="n"/>
      <c r="Z259" s="16" t="n"/>
      <c r="AA259" s="16" t="n"/>
      <c r="AB259" s="18" t="n"/>
      <c r="AC259" s="15">
        <f>IF(A259="","",IF(AB259=_xlfn.MAXIFS('Register'!$AB$6:$AB$505,'Register'!$A$6:$A$505,A259),"Y","N"))</f>
        <v/>
      </c>
      <c r="AD259" s="15">
        <f>IF(A259="","",COUNTIF('Register'!$A$6:$A$505,A259))</f>
        <v/>
      </c>
      <c r="AE259" s="17" t="n"/>
      <c r="AF259" s="16" t="n"/>
      <c r="AG259" s="17" t="n"/>
      <c r="AH259" s="17" t="n"/>
      <c r="AI259" s="19">
        <f>IF(AE259="","",AE259+IF(AF259="",TA_NOC,AF259))</f>
        <v/>
      </c>
      <c r="AJ259" s="15">
        <f>IF(AE259="","",IF(AG259="",DATADATE,AG259)-AE259)</f>
        <v/>
      </c>
      <c r="AK259" s="15">
        <f>IF(OR(AI259="",AG259&lt;&gt;""),"",IF(DATADATE&gt;AI259,"OVERDUE",""))</f>
        <v/>
      </c>
      <c r="AL259" s="15">
        <f>IF(AH259="","",IF(AH259&lt;DATADATE,"EXPIRED",IF(AH259-DATADATE&lt;=WARN_EXP,"EXPIRING","")))</f>
        <v/>
      </c>
      <c r="AM259" s="16" t="n"/>
      <c r="AN259" s="16" t="n"/>
      <c r="AO259" s="16" t="n"/>
      <c r="AP259" s="16" t="n"/>
    </row>
    <row r="260">
      <c r="A260" s="15">
        <f>IF(AA260="","",PROJ&amp;"-NOC-"&amp;Z260&amp;"-"&amp;TEXT(AA260,"0000"))</f>
        <v/>
      </c>
      <c r="B260" s="15">
        <f>IF(AA260="","",PROJ)</f>
        <v/>
      </c>
      <c r="C260" s="16" t="n"/>
      <c r="D260" s="16" t="n"/>
      <c r="E260" s="16" t="n"/>
      <c r="F260" s="16" t="n"/>
      <c r="G260" s="16" t="n"/>
      <c r="H260" s="16" t="n"/>
      <c r="I260" s="16" t="n"/>
      <c r="J260" s="16" t="n"/>
      <c r="K260" s="16" t="n"/>
      <c r="L260" s="16" t="n"/>
      <c r="M260" s="16" t="n"/>
      <c r="N260" s="16" t="n"/>
      <c r="O260" s="17" t="n"/>
      <c r="P260" s="16" t="n"/>
      <c r="Q260" s="16" t="n"/>
      <c r="R260" s="16" t="n"/>
      <c r="S260" s="16" t="n"/>
      <c r="T260" s="16" t="n"/>
      <c r="U260" s="16" t="n"/>
      <c r="V260" s="16" t="n"/>
      <c r="W260" s="16" t="n"/>
      <c r="X260" s="16" t="n"/>
      <c r="Y260" s="16" t="n"/>
      <c r="Z260" s="16" t="n"/>
      <c r="AA260" s="16" t="n"/>
      <c r="AB260" s="18" t="n"/>
      <c r="AC260" s="15">
        <f>IF(A260="","",IF(AB260=_xlfn.MAXIFS('Register'!$AB$6:$AB$505,'Register'!$A$6:$A$505,A260),"Y","N"))</f>
        <v/>
      </c>
      <c r="AD260" s="15">
        <f>IF(A260="","",COUNTIF('Register'!$A$6:$A$505,A260))</f>
        <v/>
      </c>
      <c r="AE260" s="17" t="n"/>
      <c r="AF260" s="16" t="n"/>
      <c r="AG260" s="17" t="n"/>
      <c r="AH260" s="17" t="n"/>
      <c r="AI260" s="19">
        <f>IF(AE260="","",AE260+IF(AF260="",TA_NOC,AF260))</f>
        <v/>
      </c>
      <c r="AJ260" s="15">
        <f>IF(AE260="","",IF(AG260="",DATADATE,AG260)-AE260)</f>
        <v/>
      </c>
      <c r="AK260" s="15">
        <f>IF(OR(AI260="",AG260&lt;&gt;""),"",IF(DATADATE&gt;AI260,"OVERDUE",""))</f>
        <v/>
      </c>
      <c r="AL260" s="15">
        <f>IF(AH260="","",IF(AH260&lt;DATADATE,"EXPIRED",IF(AH260-DATADATE&lt;=WARN_EXP,"EXPIRING","")))</f>
        <v/>
      </c>
      <c r="AM260" s="16" t="n"/>
      <c r="AN260" s="16" t="n"/>
      <c r="AO260" s="16" t="n"/>
      <c r="AP260" s="16" t="n"/>
    </row>
    <row r="261">
      <c r="A261" s="15">
        <f>IF(AA261="","",PROJ&amp;"-NOC-"&amp;Z261&amp;"-"&amp;TEXT(AA261,"0000"))</f>
        <v/>
      </c>
      <c r="B261" s="15">
        <f>IF(AA261="","",PROJ)</f>
        <v/>
      </c>
      <c r="C261" s="16" t="n"/>
      <c r="D261" s="16" t="n"/>
      <c r="E261" s="16" t="n"/>
      <c r="F261" s="16" t="n"/>
      <c r="G261" s="16" t="n"/>
      <c r="H261" s="16" t="n"/>
      <c r="I261" s="16" t="n"/>
      <c r="J261" s="16" t="n"/>
      <c r="K261" s="16" t="n"/>
      <c r="L261" s="16" t="n"/>
      <c r="M261" s="16" t="n"/>
      <c r="N261" s="16" t="n"/>
      <c r="O261" s="17" t="n"/>
      <c r="P261" s="16" t="n"/>
      <c r="Q261" s="16" t="n"/>
      <c r="R261" s="16" t="n"/>
      <c r="S261" s="16" t="n"/>
      <c r="T261" s="16" t="n"/>
      <c r="U261" s="16" t="n"/>
      <c r="V261" s="16" t="n"/>
      <c r="W261" s="16" t="n"/>
      <c r="X261" s="16" t="n"/>
      <c r="Y261" s="16" t="n"/>
      <c r="Z261" s="16" t="n"/>
      <c r="AA261" s="16" t="n"/>
      <c r="AB261" s="18" t="n"/>
      <c r="AC261" s="15">
        <f>IF(A261="","",IF(AB261=_xlfn.MAXIFS('Register'!$AB$6:$AB$505,'Register'!$A$6:$A$505,A261),"Y","N"))</f>
        <v/>
      </c>
      <c r="AD261" s="15">
        <f>IF(A261="","",COUNTIF('Register'!$A$6:$A$505,A261))</f>
        <v/>
      </c>
      <c r="AE261" s="17" t="n"/>
      <c r="AF261" s="16" t="n"/>
      <c r="AG261" s="17" t="n"/>
      <c r="AH261" s="17" t="n"/>
      <c r="AI261" s="19">
        <f>IF(AE261="","",AE261+IF(AF261="",TA_NOC,AF261))</f>
        <v/>
      </c>
      <c r="AJ261" s="15">
        <f>IF(AE261="","",IF(AG261="",DATADATE,AG261)-AE261)</f>
        <v/>
      </c>
      <c r="AK261" s="15">
        <f>IF(OR(AI261="",AG261&lt;&gt;""),"",IF(DATADATE&gt;AI261,"OVERDUE",""))</f>
        <v/>
      </c>
      <c r="AL261" s="15">
        <f>IF(AH261="","",IF(AH261&lt;DATADATE,"EXPIRED",IF(AH261-DATADATE&lt;=WARN_EXP,"EXPIRING","")))</f>
        <v/>
      </c>
      <c r="AM261" s="16" t="n"/>
      <c r="AN261" s="16" t="n"/>
      <c r="AO261" s="16" t="n"/>
      <c r="AP261" s="16" t="n"/>
    </row>
    <row r="262">
      <c r="A262" s="15">
        <f>IF(AA262="","",PROJ&amp;"-NOC-"&amp;Z262&amp;"-"&amp;TEXT(AA262,"0000"))</f>
        <v/>
      </c>
      <c r="B262" s="15">
        <f>IF(AA262="","",PROJ)</f>
        <v/>
      </c>
      <c r="C262" s="16" t="n"/>
      <c r="D262" s="16" t="n"/>
      <c r="E262" s="16" t="n"/>
      <c r="F262" s="16" t="n"/>
      <c r="G262" s="16" t="n"/>
      <c r="H262" s="16" t="n"/>
      <c r="I262" s="16" t="n"/>
      <c r="J262" s="16" t="n"/>
      <c r="K262" s="16" t="n"/>
      <c r="L262" s="16" t="n"/>
      <c r="M262" s="16" t="n"/>
      <c r="N262" s="16" t="n"/>
      <c r="O262" s="17" t="n"/>
      <c r="P262" s="16" t="n"/>
      <c r="Q262" s="16" t="n"/>
      <c r="R262" s="16" t="n"/>
      <c r="S262" s="16" t="n"/>
      <c r="T262" s="16" t="n"/>
      <c r="U262" s="16" t="n"/>
      <c r="V262" s="16" t="n"/>
      <c r="W262" s="16" t="n"/>
      <c r="X262" s="16" t="n"/>
      <c r="Y262" s="16" t="n"/>
      <c r="Z262" s="16" t="n"/>
      <c r="AA262" s="16" t="n"/>
      <c r="AB262" s="18" t="n"/>
      <c r="AC262" s="15">
        <f>IF(A262="","",IF(AB262=_xlfn.MAXIFS('Register'!$AB$6:$AB$505,'Register'!$A$6:$A$505,A262),"Y","N"))</f>
        <v/>
      </c>
      <c r="AD262" s="15">
        <f>IF(A262="","",COUNTIF('Register'!$A$6:$A$505,A262))</f>
        <v/>
      </c>
      <c r="AE262" s="17" t="n"/>
      <c r="AF262" s="16" t="n"/>
      <c r="AG262" s="17" t="n"/>
      <c r="AH262" s="17" t="n"/>
      <c r="AI262" s="19">
        <f>IF(AE262="","",AE262+IF(AF262="",TA_NOC,AF262))</f>
        <v/>
      </c>
      <c r="AJ262" s="15">
        <f>IF(AE262="","",IF(AG262="",DATADATE,AG262)-AE262)</f>
        <v/>
      </c>
      <c r="AK262" s="15">
        <f>IF(OR(AI262="",AG262&lt;&gt;""),"",IF(DATADATE&gt;AI262,"OVERDUE",""))</f>
        <v/>
      </c>
      <c r="AL262" s="15">
        <f>IF(AH262="","",IF(AH262&lt;DATADATE,"EXPIRED",IF(AH262-DATADATE&lt;=WARN_EXP,"EXPIRING","")))</f>
        <v/>
      </c>
      <c r="AM262" s="16" t="n"/>
      <c r="AN262" s="16" t="n"/>
      <c r="AO262" s="16" t="n"/>
      <c r="AP262" s="16" t="n"/>
    </row>
    <row r="263">
      <c r="A263" s="15">
        <f>IF(AA263="","",PROJ&amp;"-NOC-"&amp;Z263&amp;"-"&amp;TEXT(AA263,"0000"))</f>
        <v/>
      </c>
      <c r="B263" s="15">
        <f>IF(AA263="","",PROJ)</f>
        <v/>
      </c>
      <c r="C263" s="16" t="n"/>
      <c r="D263" s="16" t="n"/>
      <c r="E263" s="16" t="n"/>
      <c r="F263" s="16" t="n"/>
      <c r="G263" s="16" t="n"/>
      <c r="H263" s="16" t="n"/>
      <c r="I263" s="16" t="n"/>
      <c r="J263" s="16" t="n"/>
      <c r="K263" s="16" t="n"/>
      <c r="L263" s="16" t="n"/>
      <c r="M263" s="16" t="n"/>
      <c r="N263" s="16" t="n"/>
      <c r="O263" s="17" t="n"/>
      <c r="P263" s="16" t="n"/>
      <c r="Q263" s="16" t="n"/>
      <c r="R263" s="16" t="n"/>
      <c r="S263" s="16" t="n"/>
      <c r="T263" s="16" t="n"/>
      <c r="U263" s="16" t="n"/>
      <c r="V263" s="16" t="n"/>
      <c r="W263" s="16" t="n"/>
      <c r="X263" s="16" t="n"/>
      <c r="Y263" s="16" t="n"/>
      <c r="Z263" s="16" t="n"/>
      <c r="AA263" s="16" t="n"/>
      <c r="AB263" s="18" t="n"/>
      <c r="AC263" s="15">
        <f>IF(A263="","",IF(AB263=_xlfn.MAXIFS('Register'!$AB$6:$AB$505,'Register'!$A$6:$A$505,A263),"Y","N"))</f>
        <v/>
      </c>
      <c r="AD263" s="15">
        <f>IF(A263="","",COUNTIF('Register'!$A$6:$A$505,A263))</f>
        <v/>
      </c>
      <c r="AE263" s="17" t="n"/>
      <c r="AF263" s="16" t="n"/>
      <c r="AG263" s="17" t="n"/>
      <c r="AH263" s="17" t="n"/>
      <c r="AI263" s="19">
        <f>IF(AE263="","",AE263+IF(AF263="",TA_NOC,AF263))</f>
        <v/>
      </c>
      <c r="AJ263" s="15">
        <f>IF(AE263="","",IF(AG263="",DATADATE,AG263)-AE263)</f>
        <v/>
      </c>
      <c r="AK263" s="15">
        <f>IF(OR(AI263="",AG263&lt;&gt;""),"",IF(DATADATE&gt;AI263,"OVERDUE",""))</f>
        <v/>
      </c>
      <c r="AL263" s="15">
        <f>IF(AH263="","",IF(AH263&lt;DATADATE,"EXPIRED",IF(AH263-DATADATE&lt;=WARN_EXP,"EXPIRING","")))</f>
        <v/>
      </c>
      <c r="AM263" s="16" t="n"/>
      <c r="AN263" s="16" t="n"/>
      <c r="AO263" s="16" t="n"/>
      <c r="AP263" s="16" t="n"/>
    </row>
    <row r="264">
      <c r="A264" s="15">
        <f>IF(AA264="","",PROJ&amp;"-NOC-"&amp;Z264&amp;"-"&amp;TEXT(AA264,"0000"))</f>
        <v/>
      </c>
      <c r="B264" s="15">
        <f>IF(AA264="","",PROJ)</f>
        <v/>
      </c>
      <c r="C264" s="16" t="n"/>
      <c r="D264" s="16" t="n"/>
      <c r="E264" s="16" t="n"/>
      <c r="F264" s="16" t="n"/>
      <c r="G264" s="16" t="n"/>
      <c r="H264" s="16" t="n"/>
      <c r="I264" s="16" t="n"/>
      <c r="J264" s="16" t="n"/>
      <c r="K264" s="16" t="n"/>
      <c r="L264" s="16" t="n"/>
      <c r="M264" s="16" t="n"/>
      <c r="N264" s="16" t="n"/>
      <c r="O264" s="17" t="n"/>
      <c r="P264" s="16" t="n"/>
      <c r="Q264" s="16" t="n"/>
      <c r="R264" s="16" t="n"/>
      <c r="S264" s="16" t="n"/>
      <c r="T264" s="16" t="n"/>
      <c r="U264" s="16" t="n"/>
      <c r="V264" s="16" t="n"/>
      <c r="W264" s="16" t="n"/>
      <c r="X264" s="16" t="n"/>
      <c r="Y264" s="16" t="n"/>
      <c r="Z264" s="16" t="n"/>
      <c r="AA264" s="16" t="n"/>
      <c r="AB264" s="18" t="n"/>
      <c r="AC264" s="15">
        <f>IF(A264="","",IF(AB264=_xlfn.MAXIFS('Register'!$AB$6:$AB$505,'Register'!$A$6:$A$505,A264),"Y","N"))</f>
        <v/>
      </c>
      <c r="AD264" s="15">
        <f>IF(A264="","",COUNTIF('Register'!$A$6:$A$505,A264))</f>
        <v/>
      </c>
      <c r="AE264" s="17" t="n"/>
      <c r="AF264" s="16" t="n"/>
      <c r="AG264" s="17" t="n"/>
      <c r="AH264" s="17" t="n"/>
      <c r="AI264" s="19">
        <f>IF(AE264="","",AE264+IF(AF264="",TA_NOC,AF264))</f>
        <v/>
      </c>
      <c r="AJ264" s="15">
        <f>IF(AE264="","",IF(AG264="",DATADATE,AG264)-AE264)</f>
        <v/>
      </c>
      <c r="AK264" s="15">
        <f>IF(OR(AI264="",AG264&lt;&gt;""),"",IF(DATADATE&gt;AI264,"OVERDUE",""))</f>
        <v/>
      </c>
      <c r="AL264" s="15">
        <f>IF(AH264="","",IF(AH264&lt;DATADATE,"EXPIRED",IF(AH264-DATADATE&lt;=WARN_EXP,"EXPIRING","")))</f>
        <v/>
      </c>
      <c r="AM264" s="16" t="n"/>
      <c r="AN264" s="16" t="n"/>
      <c r="AO264" s="16" t="n"/>
      <c r="AP264" s="16" t="n"/>
    </row>
    <row r="265">
      <c r="A265" s="15">
        <f>IF(AA265="","",PROJ&amp;"-NOC-"&amp;Z265&amp;"-"&amp;TEXT(AA265,"0000"))</f>
        <v/>
      </c>
      <c r="B265" s="15">
        <f>IF(AA265="","",PROJ)</f>
        <v/>
      </c>
      <c r="C265" s="16" t="n"/>
      <c r="D265" s="16" t="n"/>
      <c r="E265" s="16" t="n"/>
      <c r="F265" s="16" t="n"/>
      <c r="G265" s="16" t="n"/>
      <c r="H265" s="16" t="n"/>
      <c r="I265" s="16" t="n"/>
      <c r="J265" s="16" t="n"/>
      <c r="K265" s="16" t="n"/>
      <c r="L265" s="16" t="n"/>
      <c r="M265" s="16" t="n"/>
      <c r="N265" s="16" t="n"/>
      <c r="O265" s="17" t="n"/>
      <c r="P265" s="16" t="n"/>
      <c r="Q265" s="16" t="n"/>
      <c r="R265" s="16" t="n"/>
      <c r="S265" s="16" t="n"/>
      <c r="T265" s="16" t="n"/>
      <c r="U265" s="16" t="n"/>
      <c r="V265" s="16" t="n"/>
      <c r="W265" s="16" t="n"/>
      <c r="X265" s="16" t="n"/>
      <c r="Y265" s="16" t="n"/>
      <c r="Z265" s="16" t="n"/>
      <c r="AA265" s="16" t="n"/>
      <c r="AB265" s="18" t="n"/>
      <c r="AC265" s="15">
        <f>IF(A265="","",IF(AB265=_xlfn.MAXIFS('Register'!$AB$6:$AB$505,'Register'!$A$6:$A$505,A265),"Y","N"))</f>
        <v/>
      </c>
      <c r="AD265" s="15">
        <f>IF(A265="","",COUNTIF('Register'!$A$6:$A$505,A265))</f>
        <v/>
      </c>
      <c r="AE265" s="17" t="n"/>
      <c r="AF265" s="16" t="n"/>
      <c r="AG265" s="17" t="n"/>
      <c r="AH265" s="17" t="n"/>
      <c r="AI265" s="19">
        <f>IF(AE265="","",AE265+IF(AF265="",TA_NOC,AF265))</f>
        <v/>
      </c>
      <c r="AJ265" s="15">
        <f>IF(AE265="","",IF(AG265="",DATADATE,AG265)-AE265)</f>
        <v/>
      </c>
      <c r="AK265" s="15">
        <f>IF(OR(AI265="",AG265&lt;&gt;""),"",IF(DATADATE&gt;AI265,"OVERDUE",""))</f>
        <v/>
      </c>
      <c r="AL265" s="15">
        <f>IF(AH265="","",IF(AH265&lt;DATADATE,"EXPIRED",IF(AH265-DATADATE&lt;=WARN_EXP,"EXPIRING","")))</f>
        <v/>
      </c>
      <c r="AM265" s="16" t="n"/>
      <c r="AN265" s="16" t="n"/>
      <c r="AO265" s="16" t="n"/>
      <c r="AP265" s="16" t="n"/>
    </row>
    <row r="266">
      <c r="A266" s="15">
        <f>IF(AA266="","",PROJ&amp;"-NOC-"&amp;Z266&amp;"-"&amp;TEXT(AA266,"0000"))</f>
        <v/>
      </c>
      <c r="B266" s="15">
        <f>IF(AA266="","",PROJ)</f>
        <v/>
      </c>
      <c r="C266" s="16" t="n"/>
      <c r="D266" s="16" t="n"/>
      <c r="E266" s="16" t="n"/>
      <c r="F266" s="16" t="n"/>
      <c r="G266" s="16" t="n"/>
      <c r="H266" s="16" t="n"/>
      <c r="I266" s="16" t="n"/>
      <c r="J266" s="16" t="n"/>
      <c r="K266" s="16" t="n"/>
      <c r="L266" s="16" t="n"/>
      <c r="M266" s="16" t="n"/>
      <c r="N266" s="16" t="n"/>
      <c r="O266" s="17" t="n"/>
      <c r="P266" s="16" t="n"/>
      <c r="Q266" s="16" t="n"/>
      <c r="R266" s="16" t="n"/>
      <c r="S266" s="16" t="n"/>
      <c r="T266" s="16" t="n"/>
      <c r="U266" s="16" t="n"/>
      <c r="V266" s="16" t="n"/>
      <c r="W266" s="16" t="n"/>
      <c r="X266" s="16" t="n"/>
      <c r="Y266" s="16" t="n"/>
      <c r="Z266" s="16" t="n"/>
      <c r="AA266" s="16" t="n"/>
      <c r="AB266" s="18" t="n"/>
      <c r="AC266" s="15">
        <f>IF(A266="","",IF(AB266=_xlfn.MAXIFS('Register'!$AB$6:$AB$505,'Register'!$A$6:$A$505,A266),"Y","N"))</f>
        <v/>
      </c>
      <c r="AD266" s="15">
        <f>IF(A266="","",COUNTIF('Register'!$A$6:$A$505,A266))</f>
        <v/>
      </c>
      <c r="AE266" s="17" t="n"/>
      <c r="AF266" s="16" t="n"/>
      <c r="AG266" s="17" t="n"/>
      <c r="AH266" s="17" t="n"/>
      <c r="AI266" s="19">
        <f>IF(AE266="","",AE266+IF(AF266="",TA_NOC,AF266))</f>
        <v/>
      </c>
      <c r="AJ266" s="15">
        <f>IF(AE266="","",IF(AG266="",DATADATE,AG266)-AE266)</f>
        <v/>
      </c>
      <c r="AK266" s="15">
        <f>IF(OR(AI266="",AG266&lt;&gt;""),"",IF(DATADATE&gt;AI266,"OVERDUE",""))</f>
        <v/>
      </c>
      <c r="AL266" s="15">
        <f>IF(AH266="","",IF(AH266&lt;DATADATE,"EXPIRED",IF(AH266-DATADATE&lt;=WARN_EXP,"EXPIRING","")))</f>
        <v/>
      </c>
      <c r="AM266" s="16" t="n"/>
      <c r="AN266" s="16" t="n"/>
      <c r="AO266" s="16" t="n"/>
      <c r="AP266" s="16" t="n"/>
    </row>
    <row r="267">
      <c r="A267" s="15">
        <f>IF(AA267="","",PROJ&amp;"-NOC-"&amp;Z267&amp;"-"&amp;TEXT(AA267,"0000"))</f>
        <v/>
      </c>
      <c r="B267" s="15">
        <f>IF(AA267="","",PROJ)</f>
        <v/>
      </c>
      <c r="C267" s="16" t="n"/>
      <c r="D267" s="16" t="n"/>
      <c r="E267" s="16" t="n"/>
      <c r="F267" s="16" t="n"/>
      <c r="G267" s="16" t="n"/>
      <c r="H267" s="16" t="n"/>
      <c r="I267" s="16" t="n"/>
      <c r="J267" s="16" t="n"/>
      <c r="K267" s="16" t="n"/>
      <c r="L267" s="16" t="n"/>
      <c r="M267" s="16" t="n"/>
      <c r="N267" s="16" t="n"/>
      <c r="O267" s="17" t="n"/>
      <c r="P267" s="16" t="n"/>
      <c r="Q267" s="16" t="n"/>
      <c r="R267" s="16" t="n"/>
      <c r="S267" s="16" t="n"/>
      <c r="T267" s="16" t="n"/>
      <c r="U267" s="16" t="n"/>
      <c r="V267" s="16" t="n"/>
      <c r="W267" s="16" t="n"/>
      <c r="X267" s="16" t="n"/>
      <c r="Y267" s="16" t="n"/>
      <c r="Z267" s="16" t="n"/>
      <c r="AA267" s="16" t="n"/>
      <c r="AB267" s="18" t="n"/>
      <c r="AC267" s="15">
        <f>IF(A267="","",IF(AB267=_xlfn.MAXIFS('Register'!$AB$6:$AB$505,'Register'!$A$6:$A$505,A267),"Y","N"))</f>
        <v/>
      </c>
      <c r="AD267" s="15">
        <f>IF(A267="","",COUNTIF('Register'!$A$6:$A$505,A267))</f>
        <v/>
      </c>
      <c r="AE267" s="17" t="n"/>
      <c r="AF267" s="16" t="n"/>
      <c r="AG267" s="17" t="n"/>
      <c r="AH267" s="17" t="n"/>
      <c r="AI267" s="19">
        <f>IF(AE267="","",AE267+IF(AF267="",TA_NOC,AF267))</f>
        <v/>
      </c>
      <c r="AJ267" s="15">
        <f>IF(AE267="","",IF(AG267="",DATADATE,AG267)-AE267)</f>
        <v/>
      </c>
      <c r="AK267" s="15">
        <f>IF(OR(AI267="",AG267&lt;&gt;""),"",IF(DATADATE&gt;AI267,"OVERDUE",""))</f>
        <v/>
      </c>
      <c r="AL267" s="15">
        <f>IF(AH267="","",IF(AH267&lt;DATADATE,"EXPIRED",IF(AH267-DATADATE&lt;=WARN_EXP,"EXPIRING","")))</f>
        <v/>
      </c>
      <c r="AM267" s="16" t="n"/>
      <c r="AN267" s="16" t="n"/>
      <c r="AO267" s="16" t="n"/>
      <c r="AP267" s="16" t="n"/>
    </row>
    <row r="268">
      <c r="A268" s="15">
        <f>IF(AA268="","",PROJ&amp;"-NOC-"&amp;Z268&amp;"-"&amp;TEXT(AA268,"0000"))</f>
        <v/>
      </c>
      <c r="B268" s="15">
        <f>IF(AA268="","",PROJ)</f>
        <v/>
      </c>
      <c r="C268" s="16" t="n"/>
      <c r="D268" s="16" t="n"/>
      <c r="E268" s="16" t="n"/>
      <c r="F268" s="16" t="n"/>
      <c r="G268" s="16" t="n"/>
      <c r="H268" s="16" t="n"/>
      <c r="I268" s="16" t="n"/>
      <c r="J268" s="16" t="n"/>
      <c r="K268" s="16" t="n"/>
      <c r="L268" s="16" t="n"/>
      <c r="M268" s="16" t="n"/>
      <c r="N268" s="16" t="n"/>
      <c r="O268" s="17" t="n"/>
      <c r="P268" s="16" t="n"/>
      <c r="Q268" s="16" t="n"/>
      <c r="R268" s="16" t="n"/>
      <c r="S268" s="16" t="n"/>
      <c r="T268" s="16" t="n"/>
      <c r="U268" s="16" t="n"/>
      <c r="V268" s="16" t="n"/>
      <c r="W268" s="16" t="n"/>
      <c r="X268" s="16" t="n"/>
      <c r="Y268" s="16" t="n"/>
      <c r="Z268" s="16" t="n"/>
      <c r="AA268" s="16" t="n"/>
      <c r="AB268" s="18" t="n"/>
      <c r="AC268" s="15">
        <f>IF(A268="","",IF(AB268=_xlfn.MAXIFS('Register'!$AB$6:$AB$505,'Register'!$A$6:$A$505,A268),"Y","N"))</f>
        <v/>
      </c>
      <c r="AD268" s="15">
        <f>IF(A268="","",COUNTIF('Register'!$A$6:$A$505,A268))</f>
        <v/>
      </c>
      <c r="AE268" s="17" t="n"/>
      <c r="AF268" s="16" t="n"/>
      <c r="AG268" s="17" t="n"/>
      <c r="AH268" s="17" t="n"/>
      <c r="AI268" s="19">
        <f>IF(AE268="","",AE268+IF(AF268="",TA_NOC,AF268))</f>
        <v/>
      </c>
      <c r="AJ268" s="15">
        <f>IF(AE268="","",IF(AG268="",DATADATE,AG268)-AE268)</f>
        <v/>
      </c>
      <c r="AK268" s="15">
        <f>IF(OR(AI268="",AG268&lt;&gt;""),"",IF(DATADATE&gt;AI268,"OVERDUE",""))</f>
        <v/>
      </c>
      <c r="AL268" s="15">
        <f>IF(AH268="","",IF(AH268&lt;DATADATE,"EXPIRED",IF(AH268-DATADATE&lt;=WARN_EXP,"EXPIRING","")))</f>
        <v/>
      </c>
      <c r="AM268" s="16" t="n"/>
      <c r="AN268" s="16" t="n"/>
      <c r="AO268" s="16" t="n"/>
      <c r="AP268" s="16" t="n"/>
    </row>
    <row r="269">
      <c r="A269" s="15">
        <f>IF(AA269="","",PROJ&amp;"-NOC-"&amp;Z269&amp;"-"&amp;TEXT(AA269,"0000"))</f>
        <v/>
      </c>
      <c r="B269" s="15">
        <f>IF(AA269="","",PROJ)</f>
        <v/>
      </c>
      <c r="C269" s="16" t="n"/>
      <c r="D269" s="16" t="n"/>
      <c r="E269" s="16" t="n"/>
      <c r="F269" s="16" t="n"/>
      <c r="G269" s="16" t="n"/>
      <c r="H269" s="16" t="n"/>
      <c r="I269" s="16" t="n"/>
      <c r="J269" s="16" t="n"/>
      <c r="K269" s="16" t="n"/>
      <c r="L269" s="16" t="n"/>
      <c r="M269" s="16" t="n"/>
      <c r="N269" s="16" t="n"/>
      <c r="O269" s="17" t="n"/>
      <c r="P269" s="16" t="n"/>
      <c r="Q269" s="16" t="n"/>
      <c r="R269" s="16" t="n"/>
      <c r="S269" s="16" t="n"/>
      <c r="T269" s="16" t="n"/>
      <c r="U269" s="16" t="n"/>
      <c r="V269" s="16" t="n"/>
      <c r="W269" s="16" t="n"/>
      <c r="X269" s="16" t="n"/>
      <c r="Y269" s="16" t="n"/>
      <c r="Z269" s="16" t="n"/>
      <c r="AA269" s="16" t="n"/>
      <c r="AB269" s="18" t="n"/>
      <c r="AC269" s="15">
        <f>IF(A269="","",IF(AB269=_xlfn.MAXIFS('Register'!$AB$6:$AB$505,'Register'!$A$6:$A$505,A269),"Y","N"))</f>
        <v/>
      </c>
      <c r="AD269" s="15">
        <f>IF(A269="","",COUNTIF('Register'!$A$6:$A$505,A269))</f>
        <v/>
      </c>
      <c r="AE269" s="17" t="n"/>
      <c r="AF269" s="16" t="n"/>
      <c r="AG269" s="17" t="n"/>
      <c r="AH269" s="17" t="n"/>
      <c r="AI269" s="19">
        <f>IF(AE269="","",AE269+IF(AF269="",TA_NOC,AF269))</f>
        <v/>
      </c>
      <c r="AJ269" s="15">
        <f>IF(AE269="","",IF(AG269="",DATADATE,AG269)-AE269)</f>
        <v/>
      </c>
      <c r="AK269" s="15">
        <f>IF(OR(AI269="",AG269&lt;&gt;""),"",IF(DATADATE&gt;AI269,"OVERDUE",""))</f>
        <v/>
      </c>
      <c r="AL269" s="15">
        <f>IF(AH269="","",IF(AH269&lt;DATADATE,"EXPIRED",IF(AH269-DATADATE&lt;=WARN_EXP,"EXPIRING","")))</f>
        <v/>
      </c>
      <c r="AM269" s="16" t="n"/>
      <c r="AN269" s="16" t="n"/>
      <c r="AO269" s="16" t="n"/>
      <c r="AP269" s="16" t="n"/>
    </row>
    <row r="270">
      <c r="A270" s="15">
        <f>IF(AA270="","",PROJ&amp;"-NOC-"&amp;Z270&amp;"-"&amp;TEXT(AA270,"0000"))</f>
        <v/>
      </c>
      <c r="B270" s="15">
        <f>IF(AA270="","",PROJ)</f>
        <v/>
      </c>
      <c r="C270" s="16" t="n"/>
      <c r="D270" s="16" t="n"/>
      <c r="E270" s="16" t="n"/>
      <c r="F270" s="16" t="n"/>
      <c r="G270" s="16" t="n"/>
      <c r="H270" s="16" t="n"/>
      <c r="I270" s="16" t="n"/>
      <c r="J270" s="16" t="n"/>
      <c r="K270" s="16" t="n"/>
      <c r="L270" s="16" t="n"/>
      <c r="M270" s="16" t="n"/>
      <c r="N270" s="16" t="n"/>
      <c r="O270" s="17" t="n"/>
      <c r="P270" s="16" t="n"/>
      <c r="Q270" s="16" t="n"/>
      <c r="R270" s="16" t="n"/>
      <c r="S270" s="16" t="n"/>
      <c r="T270" s="16" t="n"/>
      <c r="U270" s="16" t="n"/>
      <c r="V270" s="16" t="n"/>
      <c r="W270" s="16" t="n"/>
      <c r="X270" s="16" t="n"/>
      <c r="Y270" s="16" t="n"/>
      <c r="Z270" s="16" t="n"/>
      <c r="AA270" s="16" t="n"/>
      <c r="AB270" s="18" t="n"/>
      <c r="AC270" s="15">
        <f>IF(A270="","",IF(AB270=_xlfn.MAXIFS('Register'!$AB$6:$AB$505,'Register'!$A$6:$A$505,A270),"Y","N"))</f>
        <v/>
      </c>
      <c r="AD270" s="15">
        <f>IF(A270="","",COUNTIF('Register'!$A$6:$A$505,A270))</f>
        <v/>
      </c>
      <c r="AE270" s="17" t="n"/>
      <c r="AF270" s="16" t="n"/>
      <c r="AG270" s="17" t="n"/>
      <c r="AH270" s="17" t="n"/>
      <c r="AI270" s="19">
        <f>IF(AE270="","",AE270+IF(AF270="",TA_NOC,AF270))</f>
        <v/>
      </c>
      <c r="AJ270" s="15">
        <f>IF(AE270="","",IF(AG270="",DATADATE,AG270)-AE270)</f>
        <v/>
      </c>
      <c r="AK270" s="15">
        <f>IF(OR(AI270="",AG270&lt;&gt;""),"",IF(DATADATE&gt;AI270,"OVERDUE",""))</f>
        <v/>
      </c>
      <c r="AL270" s="15">
        <f>IF(AH270="","",IF(AH270&lt;DATADATE,"EXPIRED",IF(AH270-DATADATE&lt;=WARN_EXP,"EXPIRING","")))</f>
        <v/>
      </c>
      <c r="AM270" s="16" t="n"/>
      <c r="AN270" s="16" t="n"/>
      <c r="AO270" s="16" t="n"/>
      <c r="AP270" s="16" t="n"/>
    </row>
    <row r="271">
      <c r="A271" s="15">
        <f>IF(AA271="","",PROJ&amp;"-NOC-"&amp;Z271&amp;"-"&amp;TEXT(AA271,"0000"))</f>
        <v/>
      </c>
      <c r="B271" s="15">
        <f>IF(AA271="","",PROJ)</f>
        <v/>
      </c>
      <c r="C271" s="16" t="n"/>
      <c r="D271" s="16" t="n"/>
      <c r="E271" s="16" t="n"/>
      <c r="F271" s="16" t="n"/>
      <c r="G271" s="16" t="n"/>
      <c r="H271" s="16" t="n"/>
      <c r="I271" s="16" t="n"/>
      <c r="J271" s="16" t="n"/>
      <c r="K271" s="16" t="n"/>
      <c r="L271" s="16" t="n"/>
      <c r="M271" s="16" t="n"/>
      <c r="N271" s="16" t="n"/>
      <c r="O271" s="17" t="n"/>
      <c r="P271" s="16" t="n"/>
      <c r="Q271" s="16" t="n"/>
      <c r="R271" s="16" t="n"/>
      <c r="S271" s="16" t="n"/>
      <c r="T271" s="16" t="n"/>
      <c r="U271" s="16" t="n"/>
      <c r="V271" s="16" t="n"/>
      <c r="W271" s="16" t="n"/>
      <c r="X271" s="16" t="n"/>
      <c r="Y271" s="16" t="n"/>
      <c r="Z271" s="16" t="n"/>
      <c r="AA271" s="16" t="n"/>
      <c r="AB271" s="18" t="n"/>
      <c r="AC271" s="15">
        <f>IF(A271="","",IF(AB271=_xlfn.MAXIFS('Register'!$AB$6:$AB$505,'Register'!$A$6:$A$505,A271),"Y","N"))</f>
        <v/>
      </c>
      <c r="AD271" s="15">
        <f>IF(A271="","",COUNTIF('Register'!$A$6:$A$505,A271))</f>
        <v/>
      </c>
      <c r="AE271" s="17" t="n"/>
      <c r="AF271" s="16" t="n"/>
      <c r="AG271" s="17" t="n"/>
      <c r="AH271" s="17" t="n"/>
      <c r="AI271" s="19">
        <f>IF(AE271="","",AE271+IF(AF271="",TA_NOC,AF271))</f>
        <v/>
      </c>
      <c r="AJ271" s="15">
        <f>IF(AE271="","",IF(AG271="",DATADATE,AG271)-AE271)</f>
        <v/>
      </c>
      <c r="AK271" s="15">
        <f>IF(OR(AI271="",AG271&lt;&gt;""),"",IF(DATADATE&gt;AI271,"OVERDUE",""))</f>
        <v/>
      </c>
      <c r="AL271" s="15">
        <f>IF(AH271="","",IF(AH271&lt;DATADATE,"EXPIRED",IF(AH271-DATADATE&lt;=WARN_EXP,"EXPIRING","")))</f>
        <v/>
      </c>
      <c r="AM271" s="16" t="n"/>
      <c r="AN271" s="16" t="n"/>
      <c r="AO271" s="16" t="n"/>
      <c r="AP271" s="16" t="n"/>
    </row>
    <row r="272">
      <c r="A272" s="15">
        <f>IF(AA272="","",PROJ&amp;"-NOC-"&amp;Z272&amp;"-"&amp;TEXT(AA272,"0000"))</f>
        <v/>
      </c>
      <c r="B272" s="15">
        <f>IF(AA272="","",PROJ)</f>
        <v/>
      </c>
      <c r="C272" s="16" t="n"/>
      <c r="D272" s="16" t="n"/>
      <c r="E272" s="16" t="n"/>
      <c r="F272" s="16" t="n"/>
      <c r="G272" s="16" t="n"/>
      <c r="H272" s="16" t="n"/>
      <c r="I272" s="16" t="n"/>
      <c r="J272" s="16" t="n"/>
      <c r="K272" s="16" t="n"/>
      <c r="L272" s="16" t="n"/>
      <c r="M272" s="16" t="n"/>
      <c r="N272" s="16" t="n"/>
      <c r="O272" s="17" t="n"/>
      <c r="P272" s="16" t="n"/>
      <c r="Q272" s="16" t="n"/>
      <c r="R272" s="16" t="n"/>
      <c r="S272" s="16" t="n"/>
      <c r="T272" s="16" t="n"/>
      <c r="U272" s="16" t="n"/>
      <c r="V272" s="16" t="n"/>
      <c r="W272" s="16" t="n"/>
      <c r="X272" s="16" t="n"/>
      <c r="Y272" s="16" t="n"/>
      <c r="Z272" s="16" t="n"/>
      <c r="AA272" s="16" t="n"/>
      <c r="AB272" s="18" t="n"/>
      <c r="AC272" s="15">
        <f>IF(A272="","",IF(AB272=_xlfn.MAXIFS('Register'!$AB$6:$AB$505,'Register'!$A$6:$A$505,A272),"Y","N"))</f>
        <v/>
      </c>
      <c r="AD272" s="15">
        <f>IF(A272="","",COUNTIF('Register'!$A$6:$A$505,A272))</f>
        <v/>
      </c>
      <c r="AE272" s="17" t="n"/>
      <c r="AF272" s="16" t="n"/>
      <c r="AG272" s="17" t="n"/>
      <c r="AH272" s="17" t="n"/>
      <c r="AI272" s="19">
        <f>IF(AE272="","",AE272+IF(AF272="",TA_NOC,AF272))</f>
        <v/>
      </c>
      <c r="AJ272" s="15">
        <f>IF(AE272="","",IF(AG272="",DATADATE,AG272)-AE272)</f>
        <v/>
      </c>
      <c r="AK272" s="15">
        <f>IF(OR(AI272="",AG272&lt;&gt;""),"",IF(DATADATE&gt;AI272,"OVERDUE",""))</f>
        <v/>
      </c>
      <c r="AL272" s="15">
        <f>IF(AH272="","",IF(AH272&lt;DATADATE,"EXPIRED",IF(AH272-DATADATE&lt;=WARN_EXP,"EXPIRING","")))</f>
        <v/>
      </c>
      <c r="AM272" s="16" t="n"/>
      <c r="AN272" s="16" t="n"/>
      <c r="AO272" s="16" t="n"/>
      <c r="AP272" s="16" t="n"/>
    </row>
    <row r="273">
      <c r="A273" s="15">
        <f>IF(AA273="","",PROJ&amp;"-NOC-"&amp;Z273&amp;"-"&amp;TEXT(AA273,"0000"))</f>
        <v/>
      </c>
      <c r="B273" s="15">
        <f>IF(AA273="","",PROJ)</f>
        <v/>
      </c>
      <c r="C273" s="16" t="n"/>
      <c r="D273" s="16" t="n"/>
      <c r="E273" s="16" t="n"/>
      <c r="F273" s="16" t="n"/>
      <c r="G273" s="16" t="n"/>
      <c r="H273" s="16" t="n"/>
      <c r="I273" s="16" t="n"/>
      <c r="J273" s="16" t="n"/>
      <c r="K273" s="16" t="n"/>
      <c r="L273" s="16" t="n"/>
      <c r="M273" s="16" t="n"/>
      <c r="N273" s="16" t="n"/>
      <c r="O273" s="17" t="n"/>
      <c r="P273" s="16" t="n"/>
      <c r="Q273" s="16" t="n"/>
      <c r="R273" s="16" t="n"/>
      <c r="S273" s="16" t="n"/>
      <c r="T273" s="16" t="n"/>
      <c r="U273" s="16" t="n"/>
      <c r="V273" s="16" t="n"/>
      <c r="W273" s="16" t="n"/>
      <c r="X273" s="16" t="n"/>
      <c r="Y273" s="16" t="n"/>
      <c r="Z273" s="16" t="n"/>
      <c r="AA273" s="16" t="n"/>
      <c r="AB273" s="18" t="n"/>
      <c r="AC273" s="15">
        <f>IF(A273="","",IF(AB273=_xlfn.MAXIFS('Register'!$AB$6:$AB$505,'Register'!$A$6:$A$505,A273),"Y","N"))</f>
        <v/>
      </c>
      <c r="AD273" s="15">
        <f>IF(A273="","",COUNTIF('Register'!$A$6:$A$505,A273))</f>
        <v/>
      </c>
      <c r="AE273" s="17" t="n"/>
      <c r="AF273" s="16" t="n"/>
      <c r="AG273" s="17" t="n"/>
      <c r="AH273" s="17" t="n"/>
      <c r="AI273" s="19">
        <f>IF(AE273="","",AE273+IF(AF273="",TA_NOC,AF273))</f>
        <v/>
      </c>
      <c r="AJ273" s="15">
        <f>IF(AE273="","",IF(AG273="",DATADATE,AG273)-AE273)</f>
        <v/>
      </c>
      <c r="AK273" s="15">
        <f>IF(OR(AI273="",AG273&lt;&gt;""),"",IF(DATADATE&gt;AI273,"OVERDUE",""))</f>
        <v/>
      </c>
      <c r="AL273" s="15">
        <f>IF(AH273="","",IF(AH273&lt;DATADATE,"EXPIRED",IF(AH273-DATADATE&lt;=WARN_EXP,"EXPIRING","")))</f>
        <v/>
      </c>
      <c r="AM273" s="16" t="n"/>
      <c r="AN273" s="16" t="n"/>
      <c r="AO273" s="16" t="n"/>
      <c r="AP273" s="16" t="n"/>
    </row>
    <row r="274">
      <c r="A274" s="15">
        <f>IF(AA274="","",PROJ&amp;"-NOC-"&amp;Z274&amp;"-"&amp;TEXT(AA274,"0000"))</f>
        <v/>
      </c>
      <c r="B274" s="15">
        <f>IF(AA274="","",PROJ)</f>
        <v/>
      </c>
      <c r="C274" s="16" t="n"/>
      <c r="D274" s="16" t="n"/>
      <c r="E274" s="16" t="n"/>
      <c r="F274" s="16" t="n"/>
      <c r="G274" s="16" t="n"/>
      <c r="H274" s="16" t="n"/>
      <c r="I274" s="16" t="n"/>
      <c r="J274" s="16" t="n"/>
      <c r="K274" s="16" t="n"/>
      <c r="L274" s="16" t="n"/>
      <c r="M274" s="16" t="n"/>
      <c r="N274" s="16" t="n"/>
      <c r="O274" s="17" t="n"/>
      <c r="P274" s="16" t="n"/>
      <c r="Q274" s="16" t="n"/>
      <c r="R274" s="16" t="n"/>
      <c r="S274" s="16" t="n"/>
      <c r="T274" s="16" t="n"/>
      <c r="U274" s="16" t="n"/>
      <c r="V274" s="16" t="n"/>
      <c r="W274" s="16" t="n"/>
      <c r="X274" s="16" t="n"/>
      <c r="Y274" s="16" t="n"/>
      <c r="Z274" s="16" t="n"/>
      <c r="AA274" s="16" t="n"/>
      <c r="AB274" s="18" t="n"/>
      <c r="AC274" s="15">
        <f>IF(A274="","",IF(AB274=_xlfn.MAXIFS('Register'!$AB$6:$AB$505,'Register'!$A$6:$A$505,A274),"Y","N"))</f>
        <v/>
      </c>
      <c r="AD274" s="15">
        <f>IF(A274="","",COUNTIF('Register'!$A$6:$A$505,A274))</f>
        <v/>
      </c>
      <c r="AE274" s="17" t="n"/>
      <c r="AF274" s="16" t="n"/>
      <c r="AG274" s="17" t="n"/>
      <c r="AH274" s="17" t="n"/>
      <c r="AI274" s="19">
        <f>IF(AE274="","",AE274+IF(AF274="",TA_NOC,AF274))</f>
        <v/>
      </c>
      <c r="AJ274" s="15">
        <f>IF(AE274="","",IF(AG274="",DATADATE,AG274)-AE274)</f>
        <v/>
      </c>
      <c r="AK274" s="15">
        <f>IF(OR(AI274="",AG274&lt;&gt;""),"",IF(DATADATE&gt;AI274,"OVERDUE",""))</f>
        <v/>
      </c>
      <c r="AL274" s="15">
        <f>IF(AH274="","",IF(AH274&lt;DATADATE,"EXPIRED",IF(AH274-DATADATE&lt;=WARN_EXP,"EXPIRING","")))</f>
        <v/>
      </c>
      <c r="AM274" s="16" t="n"/>
      <c r="AN274" s="16" t="n"/>
      <c r="AO274" s="16" t="n"/>
      <c r="AP274" s="16" t="n"/>
    </row>
    <row r="275">
      <c r="A275" s="15">
        <f>IF(AA275="","",PROJ&amp;"-NOC-"&amp;Z275&amp;"-"&amp;TEXT(AA275,"0000"))</f>
        <v/>
      </c>
      <c r="B275" s="15">
        <f>IF(AA275="","",PROJ)</f>
        <v/>
      </c>
      <c r="C275" s="16" t="n"/>
      <c r="D275" s="16" t="n"/>
      <c r="E275" s="16" t="n"/>
      <c r="F275" s="16" t="n"/>
      <c r="G275" s="16" t="n"/>
      <c r="H275" s="16" t="n"/>
      <c r="I275" s="16" t="n"/>
      <c r="J275" s="16" t="n"/>
      <c r="K275" s="16" t="n"/>
      <c r="L275" s="16" t="n"/>
      <c r="M275" s="16" t="n"/>
      <c r="N275" s="16" t="n"/>
      <c r="O275" s="17" t="n"/>
      <c r="P275" s="16" t="n"/>
      <c r="Q275" s="16" t="n"/>
      <c r="R275" s="16" t="n"/>
      <c r="S275" s="16" t="n"/>
      <c r="T275" s="16" t="n"/>
      <c r="U275" s="16" t="n"/>
      <c r="V275" s="16" t="n"/>
      <c r="W275" s="16" t="n"/>
      <c r="X275" s="16" t="n"/>
      <c r="Y275" s="16" t="n"/>
      <c r="Z275" s="16" t="n"/>
      <c r="AA275" s="16" t="n"/>
      <c r="AB275" s="18" t="n"/>
      <c r="AC275" s="15">
        <f>IF(A275="","",IF(AB275=_xlfn.MAXIFS('Register'!$AB$6:$AB$505,'Register'!$A$6:$A$505,A275),"Y","N"))</f>
        <v/>
      </c>
      <c r="AD275" s="15">
        <f>IF(A275="","",COUNTIF('Register'!$A$6:$A$505,A275))</f>
        <v/>
      </c>
      <c r="AE275" s="17" t="n"/>
      <c r="AF275" s="16" t="n"/>
      <c r="AG275" s="17" t="n"/>
      <c r="AH275" s="17" t="n"/>
      <c r="AI275" s="19">
        <f>IF(AE275="","",AE275+IF(AF275="",TA_NOC,AF275))</f>
        <v/>
      </c>
      <c r="AJ275" s="15">
        <f>IF(AE275="","",IF(AG275="",DATADATE,AG275)-AE275)</f>
        <v/>
      </c>
      <c r="AK275" s="15">
        <f>IF(OR(AI275="",AG275&lt;&gt;""),"",IF(DATADATE&gt;AI275,"OVERDUE",""))</f>
        <v/>
      </c>
      <c r="AL275" s="15">
        <f>IF(AH275="","",IF(AH275&lt;DATADATE,"EXPIRED",IF(AH275-DATADATE&lt;=WARN_EXP,"EXPIRING","")))</f>
        <v/>
      </c>
      <c r="AM275" s="16" t="n"/>
      <c r="AN275" s="16" t="n"/>
      <c r="AO275" s="16" t="n"/>
      <c r="AP275" s="16" t="n"/>
    </row>
    <row r="276">
      <c r="A276" s="15">
        <f>IF(AA276="","",PROJ&amp;"-NOC-"&amp;Z276&amp;"-"&amp;TEXT(AA276,"0000"))</f>
        <v/>
      </c>
      <c r="B276" s="15">
        <f>IF(AA276="","",PROJ)</f>
        <v/>
      </c>
      <c r="C276" s="16" t="n"/>
      <c r="D276" s="16" t="n"/>
      <c r="E276" s="16" t="n"/>
      <c r="F276" s="16" t="n"/>
      <c r="G276" s="16" t="n"/>
      <c r="H276" s="16" t="n"/>
      <c r="I276" s="16" t="n"/>
      <c r="J276" s="16" t="n"/>
      <c r="K276" s="16" t="n"/>
      <c r="L276" s="16" t="n"/>
      <c r="M276" s="16" t="n"/>
      <c r="N276" s="16" t="n"/>
      <c r="O276" s="17" t="n"/>
      <c r="P276" s="16" t="n"/>
      <c r="Q276" s="16" t="n"/>
      <c r="R276" s="16" t="n"/>
      <c r="S276" s="16" t="n"/>
      <c r="T276" s="16" t="n"/>
      <c r="U276" s="16" t="n"/>
      <c r="V276" s="16" t="n"/>
      <c r="W276" s="16" t="n"/>
      <c r="X276" s="16" t="n"/>
      <c r="Y276" s="16" t="n"/>
      <c r="Z276" s="16" t="n"/>
      <c r="AA276" s="16" t="n"/>
      <c r="AB276" s="18" t="n"/>
      <c r="AC276" s="15">
        <f>IF(A276="","",IF(AB276=_xlfn.MAXIFS('Register'!$AB$6:$AB$505,'Register'!$A$6:$A$505,A276),"Y","N"))</f>
        <v/>
      </c>
      <c r="AD276" s="15">
        <f>IF(A276="","",COUNTIF('Register'!$A$6:$A$505,A276))</f>
        <v/>
      </c>
      <c r="AE276" s="17" t="n"/>
      <c r="AF276" s="16" t="n"/>
      <c r="AG276" s="17" t="n"/>
      <c r="AH276" s="17" t="n"/>
      <c r="AI276" s="19">
        <f>IF(AE276="","",AE276+IF(AF276="",TA_NOC,AF276))</f>
        <v/>
      </c>
      <c r="AJ276" s="15">
        <f>IF(AE276="","",IF(AG276="",DATADATE,AG276)-AE276)</f>
        <v/>
      </c>
      <c r="AK276" s="15">
        <f>IF(OR(AI276="",AG276&lt;&gt;""),"",IF(DATADATE&gt;AI276,"OVERDUE",""))</f>
        <v/>
      </c>
      <c r="AL276" s="15">
        <f>IF(AH276="","",IF(AH276&lt;DATADATE,"EXPIRED",IF(AH276-DATADATE&lt;=WARN_EXP,"EXPIRING","")))</f>
        <v/>
      </c>
      <c r="AM276" s="16" t="n"/>
      <c r="AN276" s="16" t="n"/>
      <c r="AO276" s="16" t="n"/>
      <c r="AP276" s="16" t="n"/>
    </row>
    <row r="277">
      <c r="A277" s="15">
        <f>IF(AA277="","",PROJ&amp;"-NOC-"&amp;Z277&amp;"-"&amp;TEXT(AA277,"0000"))</f>
        <v/>
      </c>
      <c r="B277" s="15">
        <f>IF(AA277="","",PROJ)</f>
        <v/>
      </c>
      <c r="C277" s="16" t="n"/>
      <c r="D277" s="16" t="n"/>
      <c r="E277" s="16" t="n"/>
      <c r="F277" s="16" t="n"/>
      <c r="G277" s="16" t="n"/>
      <c r="H277" s="16" t="n"/>
      <c r="I277" s="16" t="n"/>
      <c r="J277" s="16" t="n"/>
      <c r="K277" s="16" t="n"/>
      <c r="L277" s="16" t="n"/>
      <c r="M277" s="16" t="n"/>
      <c r="N277" s="16" t="n"/>
      <c r="O277" s="17" t="n"/>
      <c r="P277" s="16" t="n"/>
      <c r="Q277" s="16" t="n"/>
      <c r="R277" s="16" t="n"/>
      <c r="S277" s="16" t="n"/>
      <c r="T277" s="16" t="n"/>
      <c r="U277" s="16" t="n"/>
      <c r="V277" s="16" t="n"/>
      <c r="W277" s="16" t="n"/>
      <c r="X277" s="16" t="n"/>
      <c r="Y277" s="16" t="n"/>
      <c r="Z277" s="16" t="n"/>
      <c r="AA277" s="16" t="n"/>
      <c r="AB277" s="18" t="n"/>
      <c r="AC277" s="15">
        <f>IF(A277="","",IF(AB277=_xlfn.MAXIFS('Register'!$AB$6:$AB$505,'Register'!$A$6:$A$505,A277),"Y","N"))</f>
        <v/>
      </c>
      <c r="AD277" s="15">
        <f>IF(A277="","",COUNTIF('Register'!$A$6:$A$505,A277))</f>
        <v/>
      </c>
      <c r="AE277" s="17" t="n"/>
      <c r="AF277" s="16" t="n"/>
      <c r="AG277" s="17" t="n"/>
      <c r="AH277" s="17" t="n"/>
      <c r="AI277" s="19">
        <f>IF(AE277="","",AE277+IF(AF277="",TA_NOC,AF277))</f>
        <v/>
      </c>
      <c r="AJ277" s="15">
        <f>IF(AE277="","",IF(AG277="",DATADATE,AG277)-AE277)</f>
        <v/>
      </c>
      <c r="AK277" s="15">
        <f>IF(OR(AI277="",AG277&lt;&gt;""),"",IF(DATADATE&gt;AI277,"OVERDUE",""))</f>
        <v/>
      </c>
      <c r="AL277" s="15">
        <f>IF(AH277="","",IF(AH277&lt;DATADATE,"EXPIRED",IF(AH277-DATADATE&lt;=WARN_EXP,"EXPIRING","")))</f>
        <v/>
      </c>
      <c r="AM277" s="16" t="n"/>
      <c r="AN277" s="16" t="n"/>
      <c r="AO277" s="16" t="n"/>
      <c r="AP277" s="16" t="n"/>
    </row>
    <row r="278">
      <c r="A278" s="15">
        <f>IF(AA278="","",PROJ&amp;"-NOC-"&amp;Z278&amp;"-"&amp;TEXT(AA278,"0000"))</f>
        <v/>
      </c>
      <c r="B278" s="15">
        <f>IF(AA278="","",PROJ)</f>
        <v/>
      </c>
      <c r="C278" s="16" t="n"/>
      <c r="D278" s="16" t="n"/>
      <c r="E278" s="16" t="n"/>
      <c r="F278" s="16" t="n"/>
      <c r="G278" s="16" t="n"/>
      <c r="H278" s="16" t="n"/>
      <c r="I278" s="16" t="n"/>
      <c r="J278" s="16" t="n"/>
      <c r="K278" s="16" t="n"/>
      <c r="L278" s="16" t="n"/>
      <c r="M278" s="16" t="n"/>
      <c r="N278" s="16" t="n"/>
      <c r="O278" s="17" t="n"/>
      <c r="P278" s="16" t="n"/>
      <c r="Q278" s="16" t="n"/>
      <c r="R278" s="16" t="n"/>
      <c r="S278" s="16" t="n"/>
      <c r="T278" s="16" t="n"/>
      <c r="U278" s="16" t="n"/>
      <c r="V278" s="16" t="n"/>
      <c r="W278" s="16" t="n"/>
      <c r="X278" s="16" t="n"/>
      <c r="Y278" s="16" t="n"/>
      <c r="Z278" s="16" t="n"/>
      <c r="AA278" s="16" t="n"/>
      <c r="AB278" s="18" t="n"/>
      <c r="AC278" s="15">
        <f>IF(A278="","",IF(AB278=_xlfn.MAXIFS('Register'!$AB$6:$AB$505,'Register'!$A$6:$A$505,A278),"Y","N"))</f>
        <v/>
      </c>
      <c r="AD278" s="15">
        <f>IF(A278="","",COUNTIF('Register'!$A$6:$A$505,A278))</f>
        <v/>
      </c>
      <c r="AE278" s="17" t="n"/>
      <c r="AF278" s="16" t="n"/>
      <c r="AG278" s="17" t="n"/>
      <c r="AH278" s="17" t="n"/>
      <c r="AI278" s="19">
        <f>IF(AE278="","",AE278+IF(AF278="",TA_NOC,AF278))</f>
        <v/>
      </c>
      <c r="AJ278" s="15">
        <f>IF(AE278="","",IF(AG278="",DATADATE,AG278)-AE278)</f>
        <v/>
      </c>
      <c r="AK278" s="15">
        <f>IF(OR(AI278="",AG278&lt;&gt;""),"",IF(DATADATE&gt;AI278,"OVERDUE",""))</f>
        <v/>
      </c>
      <c r="AL278" s="15">
        <f>IF(AH278="","",IF(AH278&lt;DATADATE,"EXPIRED",IF(AH278-DATADATE&lt;=WARN_EXP,"EXPIRING","")))</f>
        <v/>
      </c>
      <c r="AM278" s="16" t="n"/>
      <c r="AN278" s="16" t="n"/>
      <c r="AO278" s="16" t="n"/>
      <c r="AP278" s="16" t="n"/>
    </row>
    <row r="279">
      <c r="A279" s="15">
        <f>IF(AA279="","",PROJ&amp;"-NOC-"&amp;Z279&amp;"-"&amp;TEXT(AA279,"0000"))</f>
        <v/>
      </c>
      <c r="B279" s="15">
        <f>IF(AA279="","",PROJ)</f>
        <v/>
      </c>
      <c r="C279" s="16" t="n"/>
      <c r="D279" s="16" t="n"/>
      <c r="E279" s="16" t="n"/>
      <c r="F279" s="16" t="n"/>
      <c r="G279" s="16" t="n"/>
      <c r="H279" s="16" t="n"/>
      <c r="I279" s="16" t="n"/>
      <c r="J279" s="16" t="n"/>
      <c r="K279" s="16" t="n"/>
      <c r="L279" s="16" t="n"/>
      <c r="M279" s="16" t="n"/>
      <c r="N279" s="16" t="n"/>
      <c r="O279" s="17" t="n"/>
      <c r="P279" s="16" t="n"/>
      <c r="Q279" s="16" t="n"/>
      <c r="R279" s="16" t="n"/>
      <c r="S279" s="16" t="n"/>
      <c r="T279" s="16" t="n"/>
      <c r="U279" s="16" t="n"/>
      <c r="V279" s="16" t="n"/>
      <c r="W279" s="16" t="n"/>
      <c r="X279" s="16" t="n"/>
      <c r="Y279" s="16" t="n"/>
      <c r="Z279" s="16" t="n"/>
      <c r="AA279" s="16" t="n"/>
      <c r="AB279" s="18" t="n"/>
      <c r="AC279" s="15">
        <f>IF(A279="","",IF(AB279=_xlfn.MAXIFS('Register'!$AB$6:$AB$505,'Register'!$A$6:$A$505,A279),"Y","N"))</f>
        <v/>
      </c>
      <c r="AD279" s="15">
        <f>IF(A279="","",COUNTIF('Register'!$A$6:$A$505,A279))</f>
        <v/>
      </c>
      <c r="AE279" s="17" t="n"/>
      <c r="AF279" s="16" t="n"/>
      <c r="AG279" s="17" t="n"/>
      <c r="AH279" s="17" t="n"/>
      <c r="AI279" s="19">
        <f>IF(AE279="","",AE279+IF(AF279="",TA_NOC,AF279))</f>
        <v/>
      </c>
      <c r="AJ279" s="15">
        <f>IF(AE279="","",IF(AG279="",DATADATE,AG279)-AE279)</f>
        <v/>
      </c>
      <c r="AK279" s="15">
        <f>IF(OR(AI279="",AG279&lt;&gt;""),"",IF(DATADATE&gt;AI279,"OVERDUE",""))</f>
        <v/>
      </c>
      <c r="AL279" s="15">
        <f>IF(AH279="","",IF(AH279&lt;DATADATE,"EXPIRED",IF(AH279-DATADATE&lt;=WARN_EXP,"EXPIRING","")))</f>
        <v/>
      </c>
      <c r="AM279" s="16" t="n"/>
      <c r="AN279" s="16" t="n"/>
      <c r="AO279" s="16" t="n"/>
      <c r="AP279" s="16" t="n"/>
    </row>
    <row r="280">
      <c r="A280" s="15">
        <f>IF(AA280="","",PROJ&amp;"-NOC-"&amp;Z280&amp;"-"&amp;TEXT(AA280,"0000"))</f>
        <v/>
      </c>
      <c r="B280" s="15">
        <f>IF(AA280="","",PROJ)</f>
        <v/>
      </c>
      <c r="C280" s="16" t="n"/>
      <c r="D280" s="16" t="n"/>
      <c r="E280" s="16" t="n"/>
      <c r="F280" s="16" t="n"/>
      <c r="G280" s="16" t="n"/>
      <c r="H280" s="16" t="n"/>
      <c r="I280" s="16" t="n"/>
      <c r="J280" s="16" t="n"/>
      <c r="K280" s="16" t="n"/>
      <c r="L280" s="16" t="n"/>
      <c r="M280" s="16" t="n"/>
      <c r="N280" s="16" t="n"/>
      <c r="O280" s="17" t="n"/>
      <c r="P280" s="16" t="n"/>
      <c r="Q280" s="16" t="n"/>
      <c r="R280" s="16" t="n"/>
      <c r="S280" s="16" t="n"/>
      <c r="T280" s="16" t="n"/>
      <c r="U280" s="16" t="n"/>
      <c r="V280" s="16" t="n"/>
      <c r="W280" s="16" t="n"/>
      <c r="X280" s="16" t="n"/>
      <c r="Y280" s="16" t="n"/>
      <c r="Z280" s="16" t="n"/>
      <c r="AA280" s="16" t="n"/>
      <c r="AB280" s="18" t="n"/>
      <c r="AC280" s="15">
        <f>IF(A280="","",IF(AB280=_xlfn.MAXIFS('Register'!$AB$6:$AB$505,'Register'!$A$6:$A$505,A280),"Y","N"))</f>
        <v/>
      </c>
      <c r="AD280" s="15">
        <f>IF(A280="","",COUNTIF('Register'!$A$6:$A$505,A280))</f>
        <v/>
      </c>
      <c r="AE280" s="17" t="n"/>
      <c r="AF280" s="16" t="n"/>
      <c r="AG280" s="17" t="n"/>
      <c r="AH280" s="17" t="n"/>
      <c r="AI280" s="19">
        <f>IF(AE280="","",AE280+IF(AF280="",TA_NOC,AF280))</f>
        <v/>
      </c>
      <c r="AJ280" s="15">
        <f>IF(AE280="","",IF(AG280="",DATADATE,AG280)-AE280)</f>
        <v/>
      </c>
      <c r="AK280" s="15">
        <f>IF(OR(AI280="",AG280&lt;&gt;""),"",IF(DATADATE&gt;AI280,"OVERDUE",""))</f>
        <v/>
      </c>
      <c r="AL280" s="15">
        <f>IF(AH280="","",IF(AH280&lt;DATADATE,"EXPIRED",IF(AH280-DATADATE&lt;=WARN_EXP,"EXPIRING","")))</f>
        <v/>
      </c>
      <c r="AM280" s="16" t="n"/>
      <c r="AN280" s="16" t="n"/>
      <c r="AO280" s="16" t="n"/>
      <c r="AP280" s="16" t="n"/>
    </row>
    <row r="281">
      <c r="A281" s="15">
        <f>IF(AA281="","",PROJ&amp;"-NOC-"&amp;Z281&amp;"-"&amp;TEXT(AA281,"0000"))</f>
        <v/>
      </c>
      <c r="B281" s="15">
        <f>IF(AA281="","",PROJ)</f>
        <v/>
      </c>
      <c r="C281" s="16" t="n"/>
      <c r="D281" s="16" t="n"/>
      <c r="E281" s="16" t="n"/>
      <c r="F281" s="16" t="n"/>
      <c r="G281" s="16" t="n"/>
      <c r="H281" s="16" t="n"/>
      <c r="I281" s="16" t="n"/>
      <c r="J281" s="16" t="n"/>
      <c r="K281" s="16" t="n"/>
      <c r="L281" s="16" t="n"/>
      <c r="M281" s="16" t="n"/>
      <c r="N281" s="16" t="n"/>
      <c r="O281" s="17" t="n"/>
      <c r="P281" s="16" t="n"/>
      <c r="Q281" s="16" t="n"/>
      <c r="R281" s="16" t="n"/>
      <c r="S281" s="16" t="n"/>
      <c r="T281" s="16" t="n"/>
      <c r="U281" s="16" t="n"/>
      <c r="V281" s="16" t="n"/>
      <c r="W281" s="16" t="n"/>
      <c r="X281" s="16" t="n"/>
      <c r="Y281" s="16" t="n"/>
      <c r="Z281" s="16" t="n"/>
      <c r="AA281" s="16" t="n"/>
      <c r="AB281" s="18" t="n"/>
      <c r="AC281" s="15">
        <f>IF(A281="","",IF(AB281=_xlfn.MAXIFS('Register'!$AB$6:$AB$505,'Register'!$A$6:$A$505,A281),"Y","N"))</f>
        <v/>
      </c>
      <c r="AD281" s="15">
        <f>IF(A281="","",COUNTIF('Register'!$A$6:$A$505,A281))</f>
        <v/>
      </c>
      <c r="AE281" s="17" t="n"/>
      <c r="AF281" s="16" t="n"/>
      <c r="AG281" s="17" t="n"/>
      <c r="AH281" s="17" t="n"/>
      <c r="AI281" s="19">
        <f>IF(AE281="","",AE281+IF(AF281="",TA_NOC,AF281))</f>
        <v/>
      </c>
      <c r="AJ281" s="15">
        <f>IF(AE281="","",IF(AG281="",DATADATE,AG281)-AE281)</f>
        <v/>
      </c>
      <c r="AK281" s="15">
        <f>IF(OR(AI281="",AG281&lt;&gt;""),"",IF(DATADATE&gt;AI281,"OVERDUE",""))</f>
        <v/>
      </c>
      <c r="AL281" s="15">
        <f>IF(AH281="","",IF(AH281&lt;DATADATE,"EXPIRED",IF(AH281-DATADATE&lt;=WARN_EXP,"EXPIRING","")))</f>
        <v/>
      </c>
      <c r="AM281" s="16" t="n"/>
      <c r="AN281" s="16" t="n"/>
      <c r="AO281" s="16" t="n"/>
      <c r="AP281" s="16" t="n"/>
    </row>
    <row r="282">
      <c r="A282" s="15">
        <f>IF(AA282="","",PROJ&amp;"-NOC-"&amp;Z282&amp;"-"&amp;TEXT(AA282,"0000"))</f>
        <v/>
      </c>
      <c r="B282" s="15">
        <f>IF(AA282="","",PROJ)</f>
        <v/>
      </c>
      <c r="C282" s="16" t="n"/>
      <c r="D282" s="16" t="n"/>
      <c r="E282" s="16" t="n"/>
      <c r="F282" s="16" t="n"/>
      <c r="G282" s="16" t="n"/>
      <c r="H282" s="16" t="n"/>
      <c r="I282" s="16" t="n"/>
      <c r="J282" s="16" t="n"/>
      <c r="K282" s="16" t="n"/>
      <c r="L282" s="16" t="n"/>
      <c r="M282" s="16" t="n"/>
      <c r="N282" s="16" t="n"/>
      <c r="O282" s="17" t="n"/>
      <c r="P282" s="16" t="n"/>
      <c r="Q282" s="16" t="n"/>
      <c r="R282" s="16" t="n"/>
      <c r="S282" s="16" t="n"/>
      <c r="T282" s="16" t="n"/>
      <c r="U282" s="16" t="n"/>
      <c r="V282" s="16" t="n"/>
      <c r="W282" s="16" t="n"/>
      <c r="X282" s="16" t="n"/>
      <c r="Y282" s="16" t="n"/>
      <c r="Z282" s="16" t="n"/>
      <c r="AA282" s="16" t="n"/>
      <c r="AB282" s="18" t="n"/>
      <c r="AC282" s="15">
        <f>IF(A282="","",IF(AB282=_xlfn.MAXIFS('Register'!$AB$6:$AB$505,'Register'!$A$6:$A$505,A282),"Y","N"))</f>
        <v/>
      </c>
      <c r="AD282" s="15">
        <f>IF(A282="","",COUNTIF('Register'!$A$6:$A$505,A282))</f>
        <v/>
      </c>
      <c r="AE282" s="17" t="n"/>
      <c r="AF282" s="16" t="n"/>
      <c r="AG282" s="17" t="n"/>
      <c r="AH282" s="17" t="n"/>
      <c r="AI282" s="19">
        <f>IF(AE282="","",AE282+IF(AF282="",TA_NOC,AF282))</f>
        <v/>
      </c>
      <c r="AJ282" s="15">
        <f>IF(AE282="","",IF(AG282="",DATADATE,AG282)-AE282)</f>
        <v/>
      </c>
      <c r="AK282" s="15">
        <f>IF(OR(AI282="",AG282&lt;&gt;""),"",IF(DATADATE&gt;AI282,"OVERDUE",""))</f>
        <v/>
      </c>
      <c r="AL282" s="15">
        <f>IF(AH282="","",IF(AH282&lt;DATADATE,"EXPIRED",IF(AH282-DATADATE&lt;=WARN_EXP,"EXPIRING","")))</f>
        <v/>
      </c>
      <c r="AM282" s="16" t="n"/>
      <c r="AN282" s="16" t="n"/>
      <c r="AO282" s="16" t="n"/>
      <c r="AP282" s="16" t="n"/>
    </row>
    <row r="283">
      <c r="A283" s="15">
        <f>IF(AA283="","",PROJ&amp;"-NOC-"&amp;Z283&amp;"-"&amp;TEXT(AA283,"0000"))</f>
        <v/>
      </c>
      <c r="B283" s="15">
        <f>IF(AA283="","",PROJ)</f>
        <v/>
      </c>
      <c r="C283" s="16" t="n"/>
      <c r="D283" s="16" t="n"/>
      <c r="E283" s="16" t="n"/>
      <c r="F283" s="16" t="n"/>
      <c r="G283" s="16" t="n"/>
      <c r="H283" s="16" t="n"/>
      <c r="I283" s="16" t="n"/>
      <c r="J283" s="16" t="n"/>
      <c r="K283" s="16" t="n"/>
      <c r="L283" s="16" t="n"/>
      <c r="M283" s="16" t="n"/>
      <c r="N283" s="16" t="n"/>
      <c r="O283" s="17" t="n"/>
      <c r="P283" s="16" t="n"/>
      <c r="Q283" s="16" t="n"/>
      <c r="R283" s="16" t="n"/>
      <c r="S283" s="16" t="n"/>
      <c r="T283" s="16" t="n"/>
      <c r="U283" s="16" t="n"/>
      <c r="V283" s="16" t="n"/>
      <c r="W283" s="16" t="n"/>
      <c r="X283" s="16" t="n"/>
      <c r="Y283" s="16" t="n"/>
      <c r="Z283" s="16" t="n"/>
      <c r="AA283" s="16" t="n"/>
      <c r="AB283" s="18" t="n"/>
      <c r="AC283" s="15">
        <f>IF(A283="","",IF(AB283=_xlfn.MAXIFS('Register'!$AB$6:$AB$505,'Register'!$A$6:$A$505,A283),"Y","N"))</f>
        <v/>
      </c>
      <c r="AD283" s="15">
        <f>IF(A283="","",COUNTIF('Register'!$A$6:$A$505,A283))</f>
        <v/>
      </c>
      <c r="AE283" s="17" t="n"/>
      <c r="AF283" s="16" t="n"/>
      <c r="AG283" s="17" t="n"/>
      <c r="AH283" s="17" t="n"/>
      <c r="AI283" s="19">
        <f>IF(AE283="","",AE283+IF(AF283="",TA_NOC,AF283))</f>
        <v/>
      </c>
      <c r="AJ283" s="15">
        <f>IF(AE283="","",IF(AG283="",DATADATE,AG283)-AE283)</f>
        <v/>
      </c>
      <c r="AK283" s="15">
        <f>IF(OR(AI283="",AG283&lt;&gt;""),"",IF(DATADATE&gt;AI283,"OVERDUE",""))</f>
        <v/>
      </c>
      <c r="AL283" s="15">
        <f>IF(AH283="","",IF(AH283&lt;DATADATE,"EXPIRED",IF(AH283-DATADATE&lt;=WARN_EXP,"EXPIRING","")))</f>
        <v/>
      </c>
      <c r="AM283" s="16" t="n"/>
      <c r="AN283" s="16" t="n"/>
      <c r="AO283" s="16" t="n"/>
      <c r="AP283" s="16" t="n"/>
    </row>
    <row r="284">
      <c r="A284" s="15">
        <f>IF(AA284="","",PROJ&amp;"-NOC-"&amp;Z284&amp;"-"&amp;TEXT(AA284,"0000"))</f>
        <v/>
      </c>
      <c r="B284" s="15">
        <f>IF(AA284="","",PROJ)</f>
        <v/>
      </c>
      <c r="C284" s="16" t="n"/>
      <c r="D284" s="16" t="n"/>
      <c r="E284" s="16" t="n"/>
      <c r="F284" s="16" t="n"/>
      <c r="G284" s="16" t="n"/>
      <c r="H284" s="16" t="n"/>
      <c r="I284" s="16" t="n"/>
      <c r="J284" s="16" t="n"/>
      <c r="K284" s="16" t="n"/>
      <c r="L284" s="16" t="n"/>
      <c r="M284" s="16" t="n"/>
      <c r="N284" s="16" t="n"/>
      <c r="O284" s="17" t="n"/>
      <c r="P284" s="16" t="n"/>
      <c r="Q284" s="16" t="n"/>
      <c r="R284" s="16" t="n"/>
      <c r="S284" s="16" t="n"/>
      <c r="T284" s="16" t="n"/>
      <c r="U284" s="16" t="n"/>
      <c r="V284" s="16" t="n"/>
      <c r="W284" s="16" t="n"/>
      <c r="X284" s="16" t="n"/>
      <c r="Y284" s="16" t="n"/>
      <c r="Z284" s="16" t="n"/>
      <c r="AA284" s="16" t="n"/>
      <c r="AB284" s="18" t="n"/>
      <c r="AC284" s="15">
        <f>IF(A284="","",IF(AB284=_xlfn.MAXIFS('Register'!$AB$6:$AB$505,'Register'!$A$6:$A$505,A284),"Y","N"))</f>
        <v/>
      </c>
      <c r="AD284" s="15">
        <f>IF(A284="","",COUNTIF('Register'!$A$6:$A$505,A284))</f>
        <v/>
      </c>
      <c r="AE284" s="17" t="n"/>
      <c r="AF284" s="16" t="n"/>
      <c r="AG284" s="17" t="n"/>
      <c r="AH284" s="17" t="n"/>
      <c r="AI284" s="19">
        <f>IF(AE284="","",AE284+IF(AF284="",TA_NOC,AF284))</f>
        <v/>
      </c>
      <c r="AJ284" s="15">
        <f>IF(AE284="","",IF(AG284="",DATADATE,AG284)-AE284)</f>
        <v/>
      </c>
      <c r="AK284" s="15">
        <f>IF(OR(AI284="",AG284&lt;&gt;""),"",IF(DATADATE&gt;AI284,"OVERDUE",""))</f>
        <v/>
      </c>
      <c r="AL284" s="15">
        <f>IF(AH284="","",IF(AH284&lt;DATADATE,"EXPIRED",IF(AH284-DATADATE&lt;=WARN_EXP,"EXPIRING","")))</f>
        <v/>
      </c>
      <c r="AM284" s="16" t="n"/>
      <c r="AN284" s="16" t="n"/>
      <c r="AO284" s="16" t="n"/>
      <c r="AP284" s="16" t="n"/>
    </row>
    <row r="285">
      <c r="A285" s="15">
        <f>IF(AA285="","",PROJ&amp;"-NOC-"&amp;Z285&amp;"-"&amp;TEXT(AA285,"0000"))</f>
        <v/>
      </c>
      <c r="B285" s="15">
        <f>IF(AA285="","",PROJ)</f>
        <v/>
      </c>
      <c r="C285" s="16" t="n"/>
      <c r="D285" s="16" t="n"/>
      <c r="E285" s="16" t="n"/>
      <c r="F285" s="16" t="n"/>
      <c r="G285" s="16" t="n"/>
      <c r="H285" s="16" t="n"/>
      <c r="I285" s="16" t="n"/>
      <c r="J285" s="16" t="n"/>
      <c r="K285" s="16" t="n"/>
      <c r="L285" s="16" t="n"/>
      <c r="M285" s="16" t="n"/>
      <c r="N285" s="16" t="n"/>
      <c r="O285" s="17" t="n"/>
      <c r="P285" s="16" t="n"/>
      <c r="Q285" s="16" t="n"/>
      <c r="R285" s="16" t="n"/>
      <c r="S285" s="16" t="n"/>
      <c r="T285" s="16" t="n"/>
      <c r="U285" s="16" t="n"/>
      <c r="V285" s="16" t="n"/>
      <c r="W285" s="16" t="n"/>
      <c r="X285" s="16" t="n"/>
      <c r="Y285" s="16" t="n"/>
      <c r="Z285" s="16" t="n"/>
      <c r="AA285" s="16" t="n"/>
      <c r="AB285" s="18" t="n"/>
      <c r="AC285" s="15">
        <f>IF(A285="","",IF(AB285=_xlfn.MAXIFS('Register'!$AB$6:$AB$505,'Register'!$A$6:$A$505,A285),"Y","N"))</f>
        <v/>
      </c>
      <c r="AD285" s="15">
        <f>IF(A285="","",COUNTIF('Register'!$A$6:$A$505,A285))</f>
        <v/>
      </c>
      <c r="AE285" s="17" t="n"/>
      <c r="AF285" s="16" t="n"/>
      <c r="AG285" s="17" t="n"/>
      <c r="AH285" s="17" t="n"/>
      <c r="AI285" s="19">
        <f>IF(AE285="","",AE285+IF(AF285="",TA_NOC,AF285))</f>
        <v/>
      </c>
      <c r="AJ285" s="15">
        <f>IF(AE285="","",IF(AG285="",DATADATE,AG285)-AE285)</f>
        <v/>
      </c>
      <c r="AK285" s="15">
        <f>IF(OR(AI285="",AG285&lt;&gt;""),"",IF(DATADATE&gt;AI285,"OVERDUE",""))</f>
        <v/>
      </c>
      <c r="AL285" s="15">
        <f>IF(AH285="","",IF(AH285&lt;DATADATE,"EXPIRED",IF(AH285-DATADATE&lt;=WARN_EXP,"EXPIRING","")))</f>
        <v/>
      </c>
      <c r="AM285" s="16" t="n"/>
      <c r="AN285" s="16" t="n"/>
      <c r="AO285" s="16" t="n"/>
      <c r="AP285" s="16" t="n"/>
    </row>
    <row r="286">
      <c r="A286" s="15">
        <f>IF(AA286="","",PROJ&amp;"-NOC-"&amp;Z286&amp;"-"&amp;TEXT(AA286,"0000"))</f>
        <v/>
      </c>
      <c r="B286" s="15">
        <f>IF(AA286="","",PROJ)</f>
        <v/>
      </c>
      <c r="C286" s="16" t="n"/>
      <c r="D286" s="16" t="n"/>
      <c r="E286" s="16" t="n"/>
      <c r="F286" s="16" t="n"/>
      <c r="G286" s="16" t="n"/>
      <c r="H286" s="16" t="n"/>
      <c r="I286" s="16" t="n"/>
      <c r="J286" s="16" t="n"/>
      <c r="K286" s="16" t="n"/>
      <c r="L286" s="16" t="n"/>
      <c r="M286" s="16" t="n"/>
      <c r="N286" s="16" t="n"/>
      <c r="O286" s="17" t="n"/>
      <c r="P286" s="16" t="n"/>
      <c r="Q286" s="16" t="n"/>
      <c r="R286" s="16" t="n"/>
      <c r="S286" s="16" t="n"/>
      <c r="T286" s="16" t="n"/>
      <c r="U286" s="16" t="n"/>
      <c r="V286" s="16" t="n"/>
      <c r="W286" s="16" t="n"/>
      <c r="X286" s="16" t="n"/>
      <c r="Y286" s="16" t="n"/>
      <c r="Z286" s="16" t="n"/>
      <c r="AA286" s="16" t="n"/>
      <c r="AB286" s="18" t="n"/>
      <c r="AC286" s="15">
        <f>IF(A286="","",IF(AB286=_xlfn.MAXIFS('Register'!$AB$6:$AB$505,'Register'!$A$6:$A$505,A286),"Y","N"))</f>
        <v/>
      </c>
      <c r="AD286" s="15">
        <f>IF(A286="","",COUNTIF('Register'!$A$6:$A$505,A286))</f>
        <v/>
      </c>
      <c r="AE286" s="17" t="n"/>
      <c r="AF286" s="16" t="n"/>
      <c r="AG286" s="17" t="n"/>
      <c r="AH286" s="17" t="n"/>
      <c r="AI286" s="19">
        <f>IF(AE286="","",AE286+IF(AF286="",TA_NOC,AF286))</f>
        <v/>
      </c>
      <c r="AJ286" s="15">
        <f>IF(AE286="","",IF(AG286="",DATADATE,AG286)-AE286)</f>
        <v/>
      </c>
      <c r="AK286" s="15">
        <f>IF(OR(AI286="",AG286&lt;&gt;""),"",IF(DATADATE&gt;AI286,"OVERDUE",""))</f>
        <v/>
      </c>
      <c r="AL286" s="15">
        <f>IF(AH286="","",IF(AH286&lt;DATADATE,"EXPIRED",IF(AH286-DATADATE&lt;=WARN_EXP,"EXPIRING","")))</f>
        <v/>
      </c>
      <c r="AM286" s="16" t="n"/>
      <c r="AN286" s="16" t="n"/>
      <c r="AO286" s="16" t="n"/>
      <c r="AP286" s="16" t="n"/>
    </row>
    <row r="287">
      <c r="A287" s="15">
        <f>IF(AA287="","",PROJ&amp;"-NOC-"&amp;Z287&amp;"-"&amp;TEXT(AA287,"0000"))</f>
        <v/>
      </c>
      <c r="B287" s="15">
        <f>IF(AA287="","",PROJ)</f>
        <v/>
      </c>
      <c r="C287" s="16" t="n"/>
      <c r="D287" s="16" t="n"/>
      <c r="E287" s="16" t="n"/>
      <c r="F287" s="16" t="n"/>
      <c r="G287" s="16" t="n"/>
      <c r="H287" s="16" t="n"/>
      <c r="I287" s="16" t="n"/>
      <c r="J287" s="16" t="n"/>
      <c r="K287" s="16" t="n"/>
      <c r="L287" s="16" t="n"/>
      <c r="M287" s="16" t="n"/>
      <c r="N287" s="16" t="n"/>
      <c r="O287" s="17" t="n"/>
      <c r="P287" s="16" t="n"/>
      <c r="Q287" s="16" t="n"/>
      <c r="R287" s="16" t="n"/>
      <c r="S287" s="16" t="n"/>
      <c r="T287" s="16" t="n"/>
      <c r="U287" s="16" t="n"/>
      <c r="V287" s="16" t="n"/>
      <c r="W287" s="16" t="n"/>
      <c r="X287" s="16" t="n"/>
      <c r="Y287" s="16" t="n"/>
      <c r="Z287" s="16" t="n"/>
      <c r="AA287" s="16" t="n"/>
      <c r="AB287" s="18" t="n"/>
      <c r="AC287" s="15">
        <f>IF(A287="","",IF(AB287=_xlfn.MAXIFS('Register'!$AB$6:$AB$505,'Register'!$A$6:$A$505,A287),"Y","N"))</f>
        <v/>
      </c>
      <c r="AD287" s="15">
        <f>IF(A287="","",COUNTIF('Register'!$A$6:$A$505,A287))</f>
        <v/>
      </c>
      <c r="AE287" s="17" t="n"/>
      <c r="AF287" s="16" t="n"/>
      <c r="AG287" s="17" t="n"/>
      <c r="AH287" s="17" t="n"/>
      <c r="AI287" s="19">
        <f>IF(AE287="","",AE287+IF(AF287="",TA_NOC,AF287))</f>
        <v/>
      </c>
      <c r="AJ287" s="15">
        <f>IF(AE287="","",IF(AG287="",DATADATE,AG287)-AE287)</f>
        <v/>
      </c>
      <c r="AK287" s="15">
        <f>IF(OR(AI287="",AG287&lt;&gt;""),"",IF(DATADATE&gt;AI287,"OVERDUE",""))</f>
        <v/>
      </c>
      <c r="AL287" s="15">
        <f>IF(AH287="","",IF(AH287&lt;DATADATE,"EXPIRED",IF(AH287-DATADATE&lt;=WARN_EXP,"EXPIRING","")))</f>
        <v/>
      </c>
      <c r="AM287" s="16" t="n"/>
      <c r="AN287" s="16" t="n"/>
      <c r="AO287" s="16" t="n"/>
      <c r="AP287" s="16" t="n"/>
    </row>
    <row r="288">
      <c r="A288" s="15">
        <f>IF(AA288="","",PROJ&amp;"-NOC-"&amp;Z288&amp;"-"&amp;TEXT(AA288,"0000"))</f>
        <v/>
      </c>
      <c r="B288" s="15">
        <f>IF(AA288="","",PROJ)</f>
        <v/>
      </c>
      <c r="C288" s="16" t="n"/>
      <c r="D288" s="16" t="n"/>
      <c r="E288" s="16" t="n"/>
      <c r="F288" s="16" t="n"/>
      <c r="G288" s="16" t="n"/>
      <c r="H288" s="16" t="n"/>
      <c r="I288" s="16" t="n"/>
      <c r="J288" s="16" t="n"/>
      <c r="K288" s="16" t="n"/>
      <c r="L288" s="16" t="n"/>
      <c r="M288" s="16" t="n"/>
      <c r="N288" s="16" t="n"/>
      <c r="O288" s="17" t="n"/>
      <c r="P288" s="16" t="n"/>
      <c r="Q288" s="16" t="n"/>
      <c r="R288" s="16" t="n"/>
      <c r="S288" s="16" t="n"/>
      <c r="T288" s="16" t="n"/>
      <c r="U288" s="16" t="n"/>
      <c r="V288" s="16" t="n"/>
      <c r="W288" s="16" t="n"/>
      <c r="X288" s="16" t="n"/>
      <c r="Y288" s="16" t="n"/>
      <c r="Z288" s="16" t="n"/>
      <c r="AA288" s="16" t="n"/>
      <c r="AB288" s="18" t="n"/>
      <c r="AC288" s="15">
        <f>IF(A288="","",IF(AB288=_xlfn.MAXIFS('Register'!$AB$6:$AB$505,'Register'!$A$6:$A$505,A288),"Y","N"))</f>
        <v/>
      </c>
      <c r="AD288" s="15">
        <f>IF(A288="","",COUNTIF('Register'!$A$6:$A$505,A288))</f>
        <v/>
      </c>
      <c r="AE288" s="17" t="n"/>
      <c r="AF288" s="16" t="n"/>
      <c r="AG288" s="17" t="n"/>
      <c r="AH288" s="17" t="n"/>
      <c r="AI288" s="19">
        <f>IF(AE288="","",AE288+IF(AF288="",TA_NOC,AF288))</f>
        <v/>
      </c>
      <c r="AJ288" s="15">
        <f>IF(AE288="","",IF(AG288="",DATADATE,AG288)-AE288)</f>
        <v/>
      </c>
      <c r="AK288" s="15">
        <f>IF(OR(AI288="",AG288&lt;&gt;""),"",IF(DATADATE&gt;AI288,"OVERDUE",""))</f>
        <v/>
      </c>
      <c r="AL288" s="15">
        <f>IF(AH288="","",IF(AH288&lt;DATADATE,"EXPIRED",IF(AH288-DATADATE&lt;=WARN_EXP,"EXPIRING","")))</f>
        <v/>
      </c>
      <c r="AM288" s="16" t="n"/>
      <c r="AN288" s="16" t="n"/>
      <c r="AO288" s="16" t="n"/>
      <c r="AP288" s="16" t="n"/>
    </row>
    <row r="289">
      <c r="A289" s="15">
        <f>IF(AA289="","",PROJ&amp;"-NOC-"&amp;Z289&amp;"-"&amp;TEXT(AA289,"0000"))</f>
        <v/>
      </c>
      <c r="B289" s="15">
        <f>IF(AA289="","",PROJ)</f>
        <v/>
      </c>
      <c r="C289" s="16" t="n"/>
      <c r="D289" s="16" t="n"/>
      <c r="E289" s="16" t="n"/>
      <c r="F289" s="16" t="n"/>
      <c r="G289" s="16" t="n"/>
      <c r="H289" s="16" t="n"/>
      <c r="I289" s="16" t="n"/>
      <c r="J289" s="16" t="n"/>
      <c r="K289" s="16" t="n"/>
      <c r="L289" s="16" t="n"/>
      <c r="M289" s="16" t="n"/>
      <c r="N289" s="16" t="n"/>
      <c r="O289" s="17" t="n"/>
      <c r="P289" s="16" t="n"/>
      <c r="Q289" s="16" t="n"/>
      <c r="R289" s="16" t="n"/>
      <c r="S289" s="16" t="n"/>
      <c r="T289" s="16" t="n"/>
      <c r="U289" s="16" t="n"/>
      <c r="V289" s="16" t="n"/>
      <c r="W289" s="16" t="n"/>
      <c r="X289" s="16" t="n"/>
      <c r="Y289" s="16" t="n"/>
      <c r="Z289" s="16" t="n"/>
      <c r="AA289" s="16" t="n"/>
      <c r="AB289" s="18" t="n"/>
      <c r="AC289" s="15">
        <f>IF(A289="","",IF(AB289=_xlfn.MAXIFS('Register'!$AB$6:$AB$505,'Register'!$A$6:$A$505,A289),"Y","N"))</f>
        <v/>
      </c>
      <c r="AD289" s="15">
        <f>IF(A289="","",COUNTIF('Register'!$A$6:$A$505,A289))</f>
        <v/>
      </c>
      <c r="AE289" s="17" t="n"/>
      <c r="AF289" s="16" t="n"/>
      <c r="AG289" s="17" t="n"/>
      <c r="AH289" s="17" t="n"/>
      <c r="AI289" s="19">
        <f>IF(AE289="","",AE289+IF(AF289="",TA_NOC,AF289))</f>
        <v/>
      </c>
      <c r="AJ289" s="15">
        <f>IF(AE289="","",IF(AG289="",DATADATE,AG289)-AE289)</f>
        <v/>
      </c>
      <c r="AK289" s="15">
        <f>IF(OR(AI289="",AG289&lt;&gt;""),"",IF(DATADATE&gt;AI289,"OVERDUE",""))</f>
        <v/>
      </c>
      <c r="AL289" s="15">
        <f>IF(AH289="","",IF(AH289&lt;DATADATE,"EXPIRED",IF(AH289-DATADATE&lt;=WARN_EXP,"EXPIRING","")))</f>
        <v/>
      </c>
      <c r="AM289" s="16" t="n"/>
      <c r="AN289" s="16" t="n"/>
      <c r="AO289" s="16" t="n"/>
      <c r="AP289" s="16" t="n"/>
    </row>
    <row r="290">
      <c r="A290" s="15">
        <f>IF(AA290="","",PROJ&amp;"-NOC-"&amp;Z290&amp;"-"&amp;TEXT(AA290,"0000"))</f>
        <v/>
      </c>
      <c r="B290" s="15">
        <f>IF(AA290="","",PROJ)</f>
        <v/>
      </c>
      <c r="C290" s="16" t="n"/>
      <c r="D290" s="16" t="n"/>
      <c r="E290" s="16" t="n"/>
      <c r="F290" s="16" t="n"/>
      <c r="G290" s="16" t="n"/>
      <c r="H290" s="16" t="n"/>
      <c r="I290" s="16" t="n"/>
      <c r="J290" s="16" t="n"/>
      <c r="K290" s="16" t="n"/>
      <c r="L290" s="16" t="n"/>
      <c r="M290" s="16" t="n"/>
      <c r="N290" s="16" t="n"/>
      <c r="O290" s="17" t="n"/>
      <c r="P290" s="16" t="n"/>
      <c r="Q290" s="16" t="n"/>
      <c r="R290" s="16" t="n"/>
      <c r="S290" s="16" t="n"/>
      <c r="T290" s="16" t="n"/>
      <c r="U290" s="16" t="n"/>
      <c r="V290" s="16" t="n"/>
      <c r="W290" s="16" t="n"/>
      <c r="X290" s="16" t="n"/>
      <c r="Y290" s="16" t="n"/>
      <c r="Z290" s="16" t="n"/>
      <c r="AA290" s="16" t="n"/>
      <c r="AB290" s="18" t="n"/>
      <c r="AC290" s="15">
        <f>IF(A290="","",IF(AB290=_xlfn.MAXIFS('Register'!$AB$6:$AB$505,'Register'!$A$6:$A$505,A290),"Y","N"))</f>
        <v/>
      </c>
      <c r="AD290" s="15">
        <f>IF(A290="","",COUNTIF('Register'!$A$6:$A$505,A290))</f>
        <v/>
      </c>
      <c r="AE290" s="17" t="n"/>
      <c r="AF290" s="16" t="n"/>
      <c r="AG290" s="17" t="n"/>
      <c r="AH290" s="17" t="n"/>
      <c r="AI290" s="19">
        <f>IF(AE290="","",AE290+IF(AF290="",TA_NOC,AF290))</f>
        <v/>
      </c>
      <c r="AJ290" s="15">
        <f>IF(AE290="","",IF(AG290="",DATADATE,AG290)-AE290)</f>
        <v/>
      </c>
      <c r="AK290" s="15">
        <f>IF(OR(AI290="",AG290&lt;&gt;""),"",IF(DATADATE&gt;AI290,"OVERDUE",""))</f>
        <v/>
      </c>
      <c r="AL290" s="15">
        <f>IF(AH290="","",IF(AH290&lt;DATADATE,"EXPIRED",IF(AH290-DATADATE&lt;=WARN_EXP,"EXPIRING","")))</f>
        <v/>
      </c>
      <c r="AM290" s="16" t="n"/>
      <c r="AN290" s="16" t="n"/>
      <c r="AO290" s="16" t="n"/>
      <c r="AP290" s="16" t="n"/>
    </row>
    <row r="291">
      <c r="A291" s="15">
        <f>IF(AA291="","",PROJ&amp;"-NOC-"&amp;Z291&amp;"-"&amp;TEXT(AA291,"0000"))</f>
        <v/>
      </c>
      <c r="B291" s="15">
        <f>IF(AA291="","",PROJ)</f>
        <v/>
      </c>
      <c r="C291" s="16" t="n"/>
      <c r="D291" s="16" t="n"/>
      <c r="E291" s="16" t="n"/>
      <c r="F291" s="16" t="n"/>
      <c r="G291" s="16" t="n"/>
      <c r="H291" s="16" t="n"/>
      <c r="I291" s="16" t="n"/>
      <c r="J291" s="16" t="n"/>
      <c r="K291" s="16" t="n"/>
      <c r="L291" s="16" t="n"/>
      <c r="M291" s="16" t="n"/>
      <c r="N291" s="16" t="n"/>
      <c r="O291" s="17" t="n"/>
      <c r="P291" s="16" t="n"/>
      <c r="Q291" s="16" t="n"/>
      <c r="R291" s="16" t="n"/>
      <c r="S291" s="16" t="n"/>
      <c r="T291" s="16" t="n"/>
      <c r="U291" s="16" t="n"/>
      <c r="V291" s="16" t="n"/>
      <c r="W291" s="16" t="n"/>
      <c r="X291" s="16" t="n"/>
      <c r="Y291" s="16" t="n"/>
      <c r="Z291" s="16" t="n"/>
      <c r="AA291" s="16" t="n"/>
      <c r="AB291" s="18" t="n"/>
      <c r="AC291" s="15">
        <f>IF(A291="","",IF(AB291=_xlfn.MAXIFS('Register'!$AB$6:$AB$505,'Register'!$A$6:$A$505,A291),"Y","N"))</f>
        <v/>
      </c>
      <c r="AD291" s="15">
        <f>IF(A291="","",COUNTIF('Register'!$A$6:$A$505,A291))</f>
        <v/>
      </c>
      <c r="AE291" s="17" t="n"/>
      <c r="AF291" s="16" t="n"/>
      <c r="AG291" s="17" t="n"/>
      <c r="AH291" s="17" t="n"/>
      <c r="AI291" s="19">
        <f>IF(AE291="","",AE291+IF(AF291="",TA_NOC,AF291))</f>
        <v/>
      </c>
      <c r="AJ291" s="15">
        <f>IF(AE291="","",IF(AG291="",DATADATE,AG291)-AE291)</f>
        <v/>
      </c>
      <c r="AK291" s="15">
        <f>IF(OR(AI291="",AG291&lt;&gt;""),"",IF(DATADATE&gt;AI291,"OVERDUE",""))</f>
        <v/>
      </c>
      <c r="AL291" s="15">
        <f>IF(AH291="","",IF(AH291&lt;DATADATE,"EXPIRED",IF(AH291-DATADATE&lt;=WARN_EXP,"EXPIRING","")))</f>
        <v/>
      </c>
      <c r="AM291" s="16" t="n"/>
      <c r="AN291" s="16" t="n"/>
      <c r="AO291" s="16" t="n"/>
      <c r="AP291" s="16" t="n"/>
    </row>
    <row r="292">
      <c r="A292" s="15">
        <f>IF(AA292="","",PROJ&amp;"-NOC-"&amp;Z292&amp;"-"&amp;TEXT(AA292,"0000"))</f>
        <v/>
      </c>
      <c r="B292" s="15">
        <f>IF(AA292="","",PROJ)</f>
        <v/>
      </c>
      <c r="C292" s="16" t="n"/>
      <c r="D292" s="16" t="n"/>
      <c r="E292" s="16" t="n"/>
      <c r="F292" s="16" t="n"/>
      <c r="G292" s="16" t="n"/>
      <c r="H292" s="16" t="n"/>
      <c r="I292" s="16" t="n"/>
      <c r="J292" s="16" t="n"/>
      <c r="K292" s="16" t="n"/>
      <c r="L292" s="16" t="n"/>
      <c r="M292" s="16" t="n"/>
      <c r="N292" s="16" t="n"/>
      <c r="O292" s="17" t="n"/>
      <c r="P292" s="16" t="n"/>
      <c r="Q292" s="16" t="n"/>
      <c r="R292" s="16" t="n"/>
      <c r="S292" s="16" t="n"/>
      <c r="T292" s="16" t="n"/>
      <c r="U292" s="16" t="n"/>
      <c r="V292" s="16" t="n"/>
      <c r="W292" s="16" t="n"/>
      <c r="X292" s="16" t="n"/>
      <c r="Y292" s="16" t="n"/>
      <c r="Z292" s="16" t="n"/>
      <c r="AA292" s="16" t="n"/>
      <c r="AB292" s="18" t="n"/>
      <c r="AC292" s="15">
        <f>IF(A292="","",IF(AB292=_xlfn.MAXIFS('Register'!$AB$6:$AB$505,'Register'!$A$6:$A$505,A292),"Y","N"))</f>
        <v/>
      </c>
      <c r="AD292" s="15">
        <f>IF(A292="","",COUNTIF('Register'!$A$6:$A$505,A292))</f>
        <v/>
      </c>
      <c r="AE292" s="17" t="n"/>
      <c r="AF292" s="16" t="n"/>
      <c r="AG292" s="17" t="n"/>
      <c r="AH292" s="17" t="n"/>
      <c r="AI292" s="19">
        <f>IF(AE292="","",AE292+IF(AF292="",TA_NOC,AF292))</f>
        <v/>
      </c>
      <c r="AJ292" s="15">
        <f>IF(AE292="","",IF(AG292="",DATADATE,AG292)-AE292)</f>
        <v/>
      </c>
      <c r="AK292" s="15">
        <f>IF(OR(AI292="",AG292&lt;&gt;""),"",IF(DATADATE&gt;AI292,"OVERDUE",""))</f>
        <v/>
      </c>
      <c r="AL292" s="15">
        <f>IF(AH292="","",IF(AH292&lt;DATADATE,"EXPIRED",IF(AH292-DATADATE&lt;=WARN_EXP,"EXPIRING","")))</f>
        <v/>
      </c>
      <c r="AM292" s="16" t="n"/>
      <c r="AN292" s="16" t="n"/>
      <c r="AO292" s="16" t="n"/>
      <c r="AP292" s="16" t="n"/>
    </row>
    <row r="293">
      <c r="A293" s="15">
        <f>IF(AA293="","",PROJ&amp;"-NOC-"&amp;Z293&amp;"-"&amp;TEXT(AA293,"0000"))</f>
        <v/>
      </c>
      <c r="B293" s="15">
        <f>IF(AA293="","",PROJ)</f>
        <v/>
      </c>
      <c r="C293" s="16" t="n"/>
      <c r="D293" s="16" t="n"/>
      <c r="E293" s="16" t="n"/>
      <c r="F293" s="16" t="n"/>
      <c r="G293" s="16" t="n"/>
      <c r="H293" s="16" t="n"/>
      <c r="I293" s="16" t="n"/>
      <c r="J293" s="16" t="n"/>
      <c r="K293" s="16" t="n"/>
      <c r="L293" s="16" t="n"/>
      <c r="M293" s="16" t="n"/>
      <c r="N293" s="16" t="n"/>
      <c r="O293" s="17" t="n"/>
      <c r="P293" s="16" t="n"/>
      <c r="Q293" s="16" t="n"/>
      <c r="R293" s="16" t="n"/>
      <c r="S293" s="16" t="n"/>
      <c r="T293" s="16" t="n"/>
      <c r="U293" s="16" t="n"/>
      <c r="V293" s="16" t="n"/>
      <c r="W293" s="16" t="n"/>
      <c r="X293" s="16" t="n"/>
      <c r="Y293" s="16" t="n"/>
      <c r="Z293" s="16" t="n"/>
      <c r="AA293" s="16" t="n"/>
      <c r="AB293" s="18" t="n"/>
      <c r="AC293" s="15">
        <f>IF(A293="","",IF(AB293=_xlfn.MAXIFS('Register'!$AB$6:$AB$505,'Register'!$A$6:$A$505,A293),"Y","N"))</f>
        <v/>
      </c>
      <c r="AD293" s="15">
        <f>IF(A293="","",COUNTIF('Register'!$A$6:$A$505,A293))</f>
        <v/>
      </c>
      <c r="AE293" s="17" t="n"/>
      <c r="AF293" s="16" t="n"/>
      <c r="AG293" s="17" t="n"/>
      <c r="AH293" s="17" t="n"/>
      <c r="AI293" s="19">
        <f>IF(AE293="","",AE293+IF(AF293="",TA_NOC,AF293))</f>
        <v/>
      </c>
      <c r="AJ293" s="15">
        <f>IF(AE293="","",IF(AG293="",DATADATE,AG293)-AE293)</f>
        <v/>
      </c>
      <c r="AK293" s="15">
        <f>IF(OR(AI293="",AG293&lt;&gt;""),"",IF(DATADATE&gt;AI293,"OVERDUE",""))</f>
        <v/>
      </c>
      <c r="AL293" s="15">
        <f>IF(AH293="","",IF(AH293&lt;DATADATE,"EXPIRED",IF(AH293-DATADATE&lt;=WARN_EXP,"EXPIRING","")))</f>
        <v/>
      </c>
      <c r="AM293" s="16" t="n"/>
      <c r="AN293" s="16" t="n"/>
      <c r="AO293" s="16" t="n"/>
      <c r="AP293" s="16" t="n"/>
    </row>
    <row r="294">
      <c r="A294" s="15">
        <f>IF(AA294="","",PROJ&amp;"-NOC-"&amp;Z294&amp;"-"&amp;TEXT(AA294,"0000"))</f>
        <v/>
      </c>
      <c r="B294" s="15">
        <f>IF(AA294="","",PROJ)</f>
        <v/>
      </c>
      <c r="C294" s="16" t="n"/>
      <c r="D294" s="16" t="n"/>
      <c r="E294" s="16" t="n"/>
      <c r="F294" s="16" t="n"/>
      <c r="G294" s="16" t="n"/>
      <c r="H294" s="16" t="n"/>
      <c r="I294" s="16" t="n"/>
      <c r="J294" s="16" t="n"/>
      <c r="K294" s="16" t="n"/>
      <c r="L294" s="16" t="n"/>
      <c r="M294" s="16" t="n"/>
      <c r="N294" s="16" t="n"/>
      <c r="O294" s="17" t="n"/>
      <c r="P294" s="16" t="n"/>
      <c r="Q294" s="16" t="n"/>
      <c r="R294" s="16" t="n"/>
      <c r="S294" s="16" t="n"/>
      <c r="T294" s="16" t="n"/>
      <c r="U294" s="16" t="n"/>
      <c r="V294" s="16" t="n"/>
      <c r="W294" s="16" t="n"/>
      <c r="X294" s="16" t="n"/>
      <c r="Y294" s="16" t="n"/>
      <c r="Z294" s="16" t="n"/>
      <c r="AA294" s="16" t="n"/>
      <c r="AB294" s="18" t="n"/>
      <c r="AC294" s="15">
        <f>IF(A294="","",IF(AB294=_xlfn.MAXIFS('Register'!$AB$6:$AB$505,'Register'!$A$6:$A$505,A294),"Y","N"))</f>
        <v/>
      </c>
      <c r="AD294" s="15">
        <f>IF(A294="","",COUNTIF('Register'!$A$6:$A$505,A294))</f>
        <v/>
      </c>
      <c r="AE294" s="17" t="n"/>
      <c r="AF294" s="16" t="n"/>
      <c r="AG294" s="17" t="n"/>
      <c r="AH294" s="17" t="n"/>
      <c r="AI294" s="19">
        <f>IF(AE294="","",AE294+IF(AF294="",TA_NOC,AF294))</f>
        <v/>
      </c>
      <c r="AJ294" s="15">
        <f>IF(AE294="","",IF(AG294="",DATADATE,AG294)-AE294)</f>
        <v/>
      </c>
      <c r="AK294" s="15">
        <f>IF(OR(AI294="",AG294&lt;&gt;""),"",IF(DATADATE&gt;AI294,"OVERDUE",""))</f>
        <v/>
      </c>
      <c r="AL294" s="15">
        <f>IF(AH294="","",IF(AH294&lt;DATADATE,"EXPIRED",IF(AH294-DATADATE&lt;=WARN_EXP,"EXPIRING","")))</f>
        <v/>
      </c>
      <c r="AM294" s="16" t="n"/>
      <c r="AN294" s="16" t="n"/>
      <c r="AO294" s="16" t="n"/>
      <c r="AP294" s="16" t="n"/>
    </row>
    <row r="295">
      <c r="A295" s="15">
        <f>IF(AA295="","",PROJ&amp;"-NOC-"&amp;Z295&amp;"-"&amp;TEXT(AA295,"0000"))</f>
        <v/>
      </c>
      <c r="B295" s="15">
        <f>IF(AA295="","",PROJ)</f>
        <v/>
      </c>
      <c r="C295" s="16" t="n"/>
      <c r="D295" s="16" t="n"/>
      <c r="E295" s="16" t="n"/>
      <c r="F295" s="16" t="n"/>
      <c r="G295" s="16" t="n"/>
      <c r="H295" s="16" t="n"/>
      <c r="I295" s="16" t="n"/>
      <c r="J295" s="16" t="n"/>
      <c r="K295" s="16" t="n"/>
      <c r="L295" s="16" t="n"/>
      <c r="M295" s="16" t="n"/>
      <c r="N295" s="16" t="n"/>
      <c r="O295" s="17" t="n"/>
      <c r="P295" s="16" t="n"/>
      <c r="Q295" s="16" t="n"/>
      <c r="R295" s="16" t="n"/>
      <c r="S295" s="16" t="n"/>
      <c r="T295" s="16" t="n"/>
      <c r="U295" s="16" t="n"/>
      <c r="V295" s="16" t="n"/>
      <c r="W295" s="16" t="n"/>
      <c r="X295" s="16" t="n"/>
      <c r="Y295" s="16" t="n"/>
      <c r="Z295" s="16" t="n"/>
      <c r="AA295" s="16" t="n"/>
      <c r="AB295" s="18" t="n"/>
      <c r="AC295" s="15">
        <f>IF(A295="","",IF(AB295=_xlfn.MAXIFS('Register'!$AB$6:$AB$505,'Register'!$A$6:$A$505,A295),"Y","N"))</f>
        <v/>
      </c>
      <c r="AD295" s="15">
        <f>IF(A295="","",COUNTIF('Register'!$A$6:$A$505,A295))</f>
        <v/>
      </c>
      <c r="AE295" s="17" t="n"/>
      <c r="AF295" s="16" t="n"/>
      <c r="AG295" s="17" t="n"/>
      <c r="AH295" s="17" t="n"/>
      <c r="AI295" s="19">
        <f>IF(AE295="","",AE295+IF(AF295="",TA_NOC,AF295))</f>
        <v/>
      </c>
      <c r="AJ295" s="15">
        <f>IF(AE295="","",IF(AG295="",DATADATE,AG295)-AE295)</f>
        <v/>
      </c>
      <c r="AK295" s="15">
        <f>IF(OR(AI295="",AG295&lt;&gt;""),"",IF(DATADATE&gt;AI295,"OVERDUE",""))</f>
        <v/>
      </c>
      <c r="AL295" s="15">
        <f>IF(AH295="","",IF(AH295&lt;DATADATE,"EXPIRED",IF(AH295-DATADATE&lt;=WARN_EXP,"EXPIRING","")))</f>
        <v/>
      </c>
      <c r="AM295" s="16" t="n"/>
      <c r="AN295" s="16" t="n"/>
      <c r="AO295" s="16" t="n"/>
      <c r="AP295" s="16" t="n"/>
    </row>
    <row r="296">
      <c r="A296" s="15">
        <f>IF(AA296="","",PROJ&amp;"-NOC-"&amp;Z296&amp;"-"&amp;TEXT(AA296,"0000"))</f>
        <v/>
      </c>
      <c r="B296" s="15">
        <f>IF(AA296="","",PROJ)</f>
        <v/>
      </c>
      <c r="C296" s="16" t="n"/>
      <c r="D296" s="16" t="n"/>
      <c r="E296" s="16" t="n"/>
      <c r="F296" s="16" t="n"/>
      <c r="G296" s="16" t="n"/>
      <c r="H296" s="16" t="n"/>
      <c r="I296" s="16" t="n"/>
      <c r="J296" s="16" t="n"/>
      <c r="K296" s="16" t="n"/>
      <c r="L296" s="16" t="n"/>
      <c r="M296" s="16" t="n"/>
      <c r="N296" s="16" t="n"/>
      <c r="O296" s="17" t="n"/>
      <c r="P296" s="16" t="n"/>
      <c r="Q296" s="16" t="n"/>
      <c r="R296" s="16" t="n"/>
      <c r="S296" s="16" t="n"/>
      <c r="T296" s="16" t="n"/>
      <c r="U296" s="16" t="n"/>
      <c r="V296" s="16" t="n"/>
      <c r="W296" s="16" t="n"/>
      <c r="X296" s="16" t="n"/>
      <c r="Y296" s="16" t="n"/>
      <c r="Z296" s="16" t="n"/>
      <c r="AA296" s="16" t="n"/>
      <c r="AB296" s="18" t="n"/>
      <c r="AC296" s="15">
        <f>IF(A296="","",IF(AB296=_xlfn.MAXIFS('Register'!$AB$6:$AB$505,'Register'!$A$6:$A$505,A296),"Y","N"))</f>
        <v/>
      </c>
      <c r="AD296" s="15">
        <f>IF(A296="","",COUNTIF('Register'!$A$6:$A$505,A296))</f>
        <v/>
      </c>
      <c r="AE296" s="17" t="n"/>
      <c r="AF296" s="16" t="n"/>
      <c r="AG296" s="17" t="n"/>
      <c r="AH296" s="17" t="n"/>
      <c r="AI296" s="19">
        <f>IF(AE296="","",AE296+IF(AF296="",TA_NOC,AF296))</f>
        <v/>
      </c>
      <c r="AJ296" s="15">
        <f>IF(AE296="","",IF(AG296="",DATADATE,AG296)-AE296)</f>
        <v/>
      </c>
      <c r="AK296" s="15">
        <f>IF(OR(AI296="",AG296&lt;&gt;""),"",IF(DATADATE&gt;AI296,"OVERDUE",""))</f>
        <v/>
      </c>
      <c r="AL296" s="15">
        <f>IF(AH296="","",IF(AH296&lt;DATADATE,"EXPIRED",IF(AH296-DATADATE&lt;=WARN_EXP,"EXPIRING","")))</f>
        <v/>
      </c>
      <c r="AM296" s="16" t="n"/>
      <c r="AN296" s="16" t="n"/>
      <c r="AO296" s="16" t="n"/>
      <c r="AP296" s="16" t="n"/>
    </row>
    <row r="297">
      <c r="A297" s="15">
        <f>IF(AA297="","",PROJ&amp;"-NOC-"&amp;Z297&amp;"-"&amp;TEXT(AA297,"0000"))</f>
        <v/>
      </c>
      <c r="B297" s="15">
        <f>IF(AA297="","",PROJ)</f>
        <v/>
      </c>
      <c r="C297" s="16" t="n"/>
      <c r="D297" s="16" t="n"/>
      <c r="E297" s="16" t="n"/>
      <c r="F297" s="16" t="n"/>
      <c r="G297" s="16" t="n"/>
      <c r="H297" s="16" t="n"/>
      <c r="I297" s="16" t="n"/>
      <c r="J297" s="16" t="n"/>
      <c r="K297" s="16" t="n"/>
      <c r="L297" s="16" t="n"/>
      <c r="M297" s="16" t="n"/>
      <c r="N297" s="16" t="n"/>
      <c r="O297" s="17" t="n"/>
      <c r="P297" s="16" t="n"/>
      <c r="Q297" s="16" t="n"/>
      <c r="R297" s="16" t="n"/>
      <c r="S297" s="16" t="n"/>
      <c r="T297" s="16" t="n"/>
      <c r="U297" s="16" t="n"/>
      <c r="V297" s="16" t="n"/>
      <c r="W297" s="16" t="n"/>
      <c r="X297" s="16" t="n"/>
      <c r="Y297" s="16" t="n"/>
      <c r="Z297" s="16" t="n"/>
      <c r="AA297" s="16" t="n"/>
      <c r="AB297" s="18" t="n"/>
      <c r="AC297" s="15">
        <f>IF(A297="","",IF(AB297=_xlfn.MAXIFS('Register'!$AB$6:$AB$505,'Register'!$A$6:$A$505,A297),"Y","N"))</f>
        <v/>
      </c>
      <c r="AD297" s="15">
        <f>IF(A297="","",COUNTIF('Register'!$A$6:$A$505,A297))</f>
        <v/>
      </c>
      <c r="AE297" s="17" t="n"/>
      <c r="AF297" s="16" t="n"/>
      <c r="AG297" s="17" t="n"/>
      <c r="AH297" s="17" t="n"/>
      <c r="AI297" s="19">
        <f>IF(AE297="","",AE297+IF(AF297="",TA_NOC,AF297))</f>
        <v/>
      </c>
      <c r="AJ297" s="15">
        <f>IF(AE297="","",IF(AG297="",DATADATE,AG297)-AE297)</f>
        <v/>
      </c>
      <c r="AK297" s="15">
        <f>IF(OR(AI297="",AG297&lt;&gt;""),"",IF(DATADATE&gt;AI297,"OVERDUE",""))</f>
        <v/>
      </c>
      <c r="AL297" s="15">
        <f>IF(AH297="","",IF(AH297&lt;DATADATE,"EXPIRED",IF(AH297-DATADATE&lt;=WARN_EXP,"EXPIRING","")))</f>
        <v/>
      </c>
      <c r="AM297" s="16" t="n"/>
      <c r="AN297" s="16" t="n"/>
      <c r="AO297" s="16" t="n"/>
      <c r="AP297" s="16" t="n"/>
    </row>
    <row r="298">
      <c r="A298" s="15">
        <f>IF(AA298="","",PROJ&amp;"-NOC-"&amp;Z298&amp;"-"&amp;TEXT(AA298,"0000"))</f>
        <v/>
      </c>
      <c r="B298" s="15">
        <f>IF(AA298="","",PROJ)</f>
        <v/>
      </c>
      <c r="C298" s="16" t="n"/>
      <c r="D298" s="16" t="n"/>
      <c r="E298" s="16" t="n"/>
      <c r="F298" s="16" t="n"/>
      <c r="G298" s="16" t="n"/>
      <c r="H298" s="16" t="n"/>
      <c r="I298" s="16" t="n"/>
      <c r="J298" s="16" t="n"/>
      <c r="K298" s="16" t="n"/>
      <c r="L298" s="16" t="n"/>
      <c r="M298" s="16" t="n"/>
      <c r="N298" s="16" t="n"/>
      <c r="O298" s="17" t="n"/>
      <c r="P298" s="16" t="n"/>
      <c r="Q298" s="16" t="n"/>
      <c r="R298" s="16" t="n"/>
      <c r="S298" s="16" t="n"/>
      <c r="T298" s="16" t="n"/>
      <c r="U298" s="16" t="n"/>
      <c r="V298" s="16" t="n"/>
      <c r="W298" s="16" t="n"/>
      <c r="X298" s="16" t="n"/>
      <c r="Y298" s="16" t="n"/>
      <c r="Z298" s="16" t="n"/>
      <c r="AA298" s="16" t="n"/>
      <c r="AB298" s="18" t="n"/>
      <c r="AC298" s="15">
        <f>IF(A298="","",IF(AB298=_xlfn.MAXIFS('Register'!$AB$6:$AB$505,'Register'!$A$6:$A$505,A298),"Y","N"))</f>
        <v/>
      </c>
      <c r="AD298" s="15">
        <f>IF(A298="","",COUNTIF('Register'!$A$6:$A$505,A298))</f>
        <v/>
      </c>
      <c r="AE298" s="17" t="n"/>
      <c r="AF298" s="16" t="n"/>
      <c r="AG298" s="17" t="n"/>
      <c r="AH298" s="17" t="n"/>
      <c r="AI298" s="19">
        <f>IF(AE298="","",AE298+IF(AF298="",TA_NOC,AF298))</f>
        <v/>
      </c>
      <c r="AJ298" s="15">
        <f>IF(AE298="","",IF(AG298="",DATADATE,AG298)-AE298)</f>
        <v/>
      </c>
      <c r="AK298" s="15">
        <f>IF(OR(AI298="",AG298&lt;&gt;""),"",IF(DATADATE&gt;AI298,"OVERDUE",""))</f>
        <v/>
      </c>
      <c r="AL298" s="15">
        <f>IF(AH298="","",IF(AH298&lt;DATADATE,"EXPIRED",IF(AH298-DATADATE&lt;=WARN_EXP,"EXPIRING","")))</f>
        <v/>
      </c>
      <c r="AM298" s="16" t="n"/>
      <c r="AN298" s="16" t="n"/>
      <c r="AO298" s="16" t="n"/>
      <c r="AP298" s="16" t="n"/>
    </row>
    <row r="299">
      <c r="A299" s="15">
        <f>IF(AA299="","",PROJ&amp;"-NOC-"&amp;Z299&amp;"-"&amp;TEXT(AA299,"0000"))</f>
        <v/>
      </c>
      <c r="B299" s="15">
        <f>IF(AA299="","",PROJ)</f>
        <v/>
      </c>
      <c r="C299" s="16" t="n"/>
      <c r="D299" s="16" t="n"/>
      <c r="E299" s="16" t="n"/>
      <c r="F299" s="16" t="n"/>
      <c r="G299" s="16" t="n"/>
      <c r="H299" s="16" t="n"/>
      <c r="I299" s="16" t="n"/>
      <c r="J299" s="16" t="n"/>
      <c r="K299" s="16" t="n"/>
      <c r="L299" s="16" t="n"/>
      <c r="M299" s="16" t="n"/>
      <c r="N299" s="16" t="n"/>
      <c r="O299" s="17" t="n"/>
      <c r="P299" s="16" t="n"/>
      <c r="Q299" s="16" t="n"/>
      <c r="R299" s="16" t="n"/>
      <c r="S299" s="16" t="n"/>
      <c r="T299" s="16" t="n"/>
      <c r="U299" s="16" t="n"/>
      <c r="V299" s="16" t="n"/>
      <c r="W299" s="16" t="n"/>
      <c r="X299" s="16" t="n"/>
      <c r="Y299" s="16" t="n"/>
      <c r="Z299" s="16" t="n"/>
      <c r="AA299" s="16" t="n"/>
      <c r="AB299" s="18" t="n"/>
      <c r="AC299" s="15">
        <f>IF(A299="","",IF(AB299=_xlfn.MAXIFS('Register'!$AB$6:$AB$505,'Register'!$A$6:$A$505,A299),"Y","N"))</f>
        <v/>
      </c>
      <c r="AD299" s="15">
        <f>IF(A299="","",COUNTIF('Register'!$A$6:$A$505,A299))</f>
        <v/>
      </c>
      <c r="AE299" s="17" t="n"/>
      <c r="AF299" s="16" t="n"/>
      <c r="AG299" s="17" t="n"/>
      <c r="AH299" s="17" t="n"/>
      <c r="AI299" s="19">
        <f>IF(AE299="","",AE299+IF(AF299="",TA_NOC,AF299))</f>
        <v/>
      </c>
      <c r="AJ299" s="15">
        <f>IF(AE299="","",IF(AG299="",DATADATE,AG299)-AE299)</f>
        <v/>
      </c>
      <c r="AK299" s="15">
        <f>IF(OR(AI299="",AG299&lt;&gt;""),"",IF(DATADATE&gt;AI299,"OVERDUE",""))</f>
        <v/>
      </c>
      <c r="AL299" s="15">
        <f>IF(AH299="","",IF(AH299&lt;DATADATE,"EXPIRED",IF(AH299-DATADATE&lt;=WARN_EXP,"EXPIRING","")))</f>
        <v/>
      </c>
      <c r="AM299" s="16" t="n"/>
      <c r="AN299" s="16" t="n"/>
      <c r="AO299" s="16" t="n"/>
      <c r="AP299" s="16" t="n"/>
    </row>
    <row r="300">
      <c r="A300" s="15">
        <f>IF(AA300="","",PROJ&amp;"-NOC-"&amp;Z300&amp;"-"&amp;TEXT(AA300,"0000"))</f>
        <v/>
      </c>
      <c r="B300" s="15">
        <f>IF(AA300="","",PROJ)</f>
        <v/>
      </c>
      <c r="C300" s="16" t="n"/>
      <c r="D300" s="16" t="n"/>
      <c r="E300" s="16" t="n"/>
      <c r="F300" s="16" t="n"/>
      <c r="G300" s="16" t="n"/>
      <c r="H300" s="16" t="n"/>
      <c r="I300" s="16" t="n"/>
      <c r="J300" s="16" t="n"/>
      <c r="K300" s="16" t="n"/>
      <c r="L300" s="16" t="n"/>
      <c r="M300" s="16" t="n"/>
      <c r="N300" s="16" t="n"/>
      <c r="O300" s="17" t="n"/>
      <c r="P300" s="16" t="n"/>
      <c r="Q300" s="16" t="n"/>
      <c r="R300" s="16" t="n"/>
      <c r="S300" s="16" t="n"/>
      <c r="T300" s="16" t="n"/>
      <c r="U300" s="16" t="n"/>
      <c r="V300" s="16" t="n"/>
      <c r="W300" s="16" t="n"/>
      <c r="X300" s="16" t="n"/>
      <c r="Y300" s="16" t="n"/>
      <c r="Z300" s="16" t="n"/>
      <c r="AA300" s="16" t="n"/>
      <c r="AB300" s="18" t="n"/>
      <c r="AC300" s="15">
        <f>IF(A300="","",IF(AB300=_xlfn.MAXIFS('Register'!$AB$6:$AB$505,'Register'!$A$6:$A$505,A300),"Y","N"))</f>
        <v/>
      </c>
      <c r="AD300" s="15">
        <f>IF(A300="","",COUNTIF('Register'!$A$6:$A$505,A300))</f>
        <v/>
      </c>
      <c r="AE300" s="17" t="n"/>
      <c r="AF300" s="16" t="n"/>
      <c r="AG300" s="17" t="n"/>
      <c r="AH300" s="17" t="n"/>
      <c r="AI300" s="19">
        <f>IF(AE300="","",AE300+IF(AF300="",TA_NOC,AF300))</f>
        <v/>
      </c>
      <c r="AJ300" s="15">
        <f>IF(AE300="","",IF(AG300="",DATADATE,AG300)-AE300)</f>
        <v/>
      </c>
      <c r="AK300" s="15">
        <f>IF(OR(AI300="",AG300&lt;&gt;""),"",IF(DATADATE&gt;AI300,"OVERDUE",""))</f>
        <v/>
      </c>
      <c r="AL300" s="15">
        <f>IF(AH300="","",IF(AH300&lt;DATADATE,"EXPIRED",IF(AH300-DATADATE&lt;=WARN_EXP,"EXPIRING","")))</f>
        <v/>
      </c>
      <c r="AM300" s="16" t="n"/>
      <c r="AN300" s="16" t="n"/>
      <c r="AO300" s="16" t="n"/>
      <c r="AP300" s="16" t="n"/>
    </row>
    <row r="301">
      <c r="A301" s="15">
        <f>IF(AA301="","",PROJ&amp;"-NOC-"&amp;Z301&amp;"-"&amp;TEXT(AA301,"0000"))</f>
        <v/>
      </c>
      <c r="B301" s="15">
        <f>IF(AA301="","",PROJ)</f>
        <v/>
      </c>
      <c r="C301" s="16" t="n"/>
      <c r="D301" s="16" t="n"/>
      <c r="E301" s="16" t="n"/>
      <c r="F301" s="16" t="n"/>
      <c r="G301" s="16" t="n"/>
      <c r="H301" s="16" t="n"/>
      <c r="I301" s="16" t="n"/>
      <c r="J301" s="16" t="n"/>
      <c r="K301" s="16" t="n"/>
      <c r="L301" s="16" t="n"/>
      <c r="M301" s="16" t="n"/>
      <c r="N301" s="16" t="n"/>
      <c r="O301" s="17" t="n"/>
      <c r="P301" s="16" t="n"/>
      <c r="Q301" s="16" t="n"/>
      <c r="R301" s="16" t="n"/>
      <c r="S301" s="16" t="n"/>
      <c r="T301" s="16" t="n"/>
      <c r="U301" s="16" t="n"/>
      <c r="V301" s="16" t="n"/>
      <c r="W301" s="16" t="n"/>
      <c r="X301" s="16" t="n"/>
      <c r="Y301" s="16" t="n"/>
      <c r="Z301" s="16" t="n"/>
      <c r="AA301" s="16" t="n"/>
      <c r="AB301" s="18" t="n"/>
      <c r="AC301" s="15">
        <f>IF(A301="","",IF(AB301=_xlfn.MAXIFS('Register'!$AB$6:$AB$505,'Register'!$A$6:$A$505,A301),"Y","N"))</f>
        <v/>
      </c>
      <c r="AD301" s="15">
        <f>IF(A301="","",COUNTIF('Register'!$A$6:$A$505,A301))</f>
        <v/>
      </c>
      <c r="AE301" s="17" t="n"/>
      <c r="AF301" s="16" t="n"/>
      <c r="AG301" s="17" t="n"/>
      <c r="AH301" s="17" t="n"/>
      <c r="AI301" s="19">
        <f>IF(AE301="","",AE301+IF(AF301="",TA_NOC,AF301))</f>
        <v/>
      </c>
      <c r="AJ301" s="15">
        <f>IF(AE301="","",IF(AG301="",DATADATE,AG301)-AE301)</f>
        <v/>
      </c>
      <c r="AK301" s="15">
        <f>IF(OR(AI301="",AG301&lt;&gt;""),"",IF(DATADATE&gt;AI301,"OVERDUE",""))</f>
        <v/>
      </c>
      <c r="AL301" s="15">
        <f>IF(AH301="","",IF(AH301&lt;DATADATE,"EXPIRED",IF(AH301-DATADATE&lt;=WARN_EXP,"EXPIRING","")))</f>
        <v/>
      </c>
      <c r="AM301" s="16" t="n"/>
      <c r="AN301" s="16" t="n"/>
      <c r="AO301" s="16" t="n"/>
      <c r="AP301" s="16" t="n"/>
    </row>
    <row r="302">
      <c r="A302" s="15">
        <f>IF(AA302="","",PROJ&amp;"-NOC-"&amp;Z302&amp;"-"&amp;TEXT(AA302,"0000"))</f>
        <v/>
      </c>
      <c r="B302" s="15">
        <f>IF(AA302="","",PROJ)</f>
        <v/>
      </c>
      <c r="C302" s="16" t="n"/>
      <c r="D302" s="16" t="n"/>
      <c r="E302" s="16" t="n"/>
      <c r="F302" s="16" t="n"/>
      <c r="G302" s="16" t="n"/>
      <c r="H302" s="16" t="n"/>
      <c r="I302" s="16" t="n"/>
      <c r="J302" s="16" t="n"/>
      <c r="K302" s="16" t="n"/>
      <c r="L302" s="16" t="n"/>
      <c r="M302" s="16" t="n"/>
      <c r="N302" s="16" t="n"/>
      <c r="O302" s="17" t="n"/>
      <c r="P302" s="16" t="n"/>
      <c r="Q302" s="16" t="n"/>
      <c r="R302" s="16" t="n"/>
      <c r="S302" s="16" t="n"/>
      <c r="T302" s="16" t="n"/>
      <c r="U302" s="16" t="n"/>
      <c r="V302" s="16" t="n"/>
      <c r="W302" s="16" t="n"/>
      <c r="X302" s="16" t="n"/>
      <c r="Y302" s="16" t="n"/>
      <c r="Z302" s="16" t="n"/>
      <c r="AA302" s="16" t="n"/>
      <c r="AB302" s="18" t="n"/>
      <c r="AC302" s="15">
        <f>IF(A302="","",IF(AB302=_xlfn.MAXIFS('Register'!$AB$6:$AB$505,'Register'!$A$6:$A$505,A302),"Y","N"))</f>
        <v/>
      </c>
      <c r="AD302" s="15">
        <f>IF(A302="","",COUNTIF('Register'!$A$6:$A$505,A302))</f>
        <v/>
      </c>
      <c r="AE302" s="17" t="n"/>
      <c r="AF302" s="16" t="n"/>
      <c r="AG302" s="17" t="n"/>
      <c r="AH302" s="17" t="n"/>
      <c r="AI302" s="19">
        <f>IF(AE302="","",AE302+IF(AF302="",TA_NOC,AF302))</f>
        <v/>
      </c>
      <c r="AJ302" s="15">
        <f>IF(AE302="","",IF(AG302="",DATADATE,AG302)-AE302)</f>
        <v/>
      </c>
      <c r="AK302" s="15">
        <f>IF(OR(AI302="",AG302&lt;&gt;""),"",IF(DATADATE&gt;AI302,"OVERDUE",""))</f>
        <v/>
      </c>
      <c r="AL302" s="15">
        <f>IF(AH302="","",IF(AH302&lt;DATADATE,"EXPIRED",IF(AH302-DATADATE&lt;=WARN_EXP,"EXPIRING","")))</f>
        <v/>
      </c>
      <c r="AM302" s="16" t="n"/>
      <c r="AN302" s="16" t="n"/>
      <c r="AO302" s="16" t="n"/>
      <c r="AP302" s="16" t="n"/>
    </row>
    <row r="303">
      <c r="A303" s="15">
        <f>IF(AA303="","",PROJ&amp;"-NOC-"&amp;Z303&amp;"-"&amp;TEXT(AA303,"0000"))</f>
        <v/>
      </c>
      <c r="B303" s="15">
        <f>IF(AA303="","",PROJ)</f>
        <v/>
      </c>
      <c r="C303" s="16" t="n"/>
      <c r="D303" s="16" t="n"/>
      <c r="E303" s="16" t="n"/>
      <c r="F303" s="16" t="n"/>
      <c r="G303" s="16" t="n"/>
      <c r="H303" s="16" t="n"/>
      <c r="I303" s="16" t="n"/>
      <c r="J303" s="16" t="n"/>
      <c r="K303" s="16" t="n"/>
      <c r="L303" s="16" t="n"/>
      <c r="M303" s="16" t="n"/>
      <c r="N303" s="16" t="n"/>
      <c r="O303" s="17" t="n"/>
      <c r="P303" s="16" t="n"/>
      <c r="Q303" s="16" t="n"/>
      <c r="R303" s="16" t="n"/>
      <c r="S303" s="16" t="n"/>
      <c r="T303" s="16" t="n"/>
      <c r="U303" s="16" t="n"/>
      <c r="V303" s="16" t="n"/>
      <c r="W303" s="16" t="n"/>
      <c r="X303" s="16" t="n"/>
      <c r="Y303" s="16" t="n"/>
      <c r="Z303" s="16" t="n"/>
      <c r="AA303" s="16" t="n"/>
      <c r="AB303" s="18" t="n"/>
      <c r="AC303" s="15">
        <f>IF(A303="","",IF(AB303=_xlfn.MAXIFS('Register'!$AB$6:$AB$505,'Register'!$A$6:$A$505,A303),"Y","N"))</f>
        <v/>
      </c>
      <c r="AD303" s="15">
        <f>IF(A303="","",COUNTIF('Register'!$A$6:$A$505,A303))</f>
        <v/>
      </c>
      <c r="AE303" s="17" t="n"/>
      <c r="AF303" s="16" t="n"/>
      <c r="AG303" s="17" t="n"/>
      <c r="AH303" s="17" t="n"/>
      <c r="AI303" s="19">
        <f>IF(AE303="","",AE303+IF(AF303="",TA_NOC,AF303))</f>
        <v/>
      </c>
      <c r="AJ303" s="15">
        <f>IF(AE303="","",IF(AG303="",DATADATE,AG303)-AE303)</f>
        <v/>
      </c>
      <c r="AK303" s="15">
        <f>IF(OR(AI303="",AG303&lt;&gt;""),"",IF(DATADATE&gt;AI303,"OVERDUE",""))</f>
        <v/>
      </c>
      <c r="AL303" s="15">
        <f>IF(AH303="","",IF(AH303&lt;DATADATE,"EXPIRED",IF(AH303-DATADATE&lt;=WARN_EXP,"EXPIRING","")))</f>
        <v/>
      </c>
      <c r="AM303" s="16" t="n"/>
      <c r="AN303" s="16" t="n"/>
      <c r="AO303" s="16" t="n"/>
      <c r="AP303" s="16" t="n"/>
    </row>
    <row r="304">
      <c r="A304" s="15">
        <f>IF(AA304="","",PROJ&amp;"-NOC-"&amp;Z304&amp;"-"&amp;TEXT(AA304,"0000"))</f>
        <v/>
      </c>
      <c r="B304" s="15">
        <f>IF(AA304="","",PROJ)</f>
        <v/>
      </c>
      <c r="C304" s="16" t="n"/>
      <c r="D304" s="16" t="n"/>
      <c r="E304" s="16" t="n"/>
      <c r="F304" s="16" t="n"/>
      <c r="G304" s="16" t="n"/>
      <c r="H304" s="16" t="n"/>
      <c r="I304" s="16" t="n"/>
      <c r="J304" s="16" t="n"/>
      <c r="K304" s="16" t="n"/>
      <c r="L304" s="16" t="n"/>
      <c r="M304" s="16" t="n"/>
      <c r="N304" s="16" t="n"/>
      <c r="O304" s="17" t="n"/>
      <c r="P304" s="16" t="n"/>
      <c r="Q304" s="16" t="n"/>
      <c r="R304" s="16" t="n"/>
      <c r="S304" s="16" t="n"/>
      <c r="T304" s="16" t="n"/>
      <c r="U304" s="16" t="n"/>
      <c r="V304" s="16" t="n"/>
      <c r="W304" s="16" t="n"/>
      <c r="X304" s="16" t="n"/>
      <c r="Y304" s="16" t="n"/>
      <c r="Z304" s="16" t="n"/>
      <c r="AA304" s="16" t="n"/>
      <c r="AB304" s="18" t="n"/>
      <c r="AC304" s="15">
        <f>IF(A304="","",IF(AB304=_xlfn.MAXIFS('Register'!$AB$6:$AB$505,'Register'!$A$6:$A$505,A304),"Y","N"))</f>
        <v/>
      </c>
      <c r="AD304" s="15">
        <f>IF(A304="","",COUNTIF('Register'!$A$6:$A$505,A304))</f>
        <v/>
      </c>
      <c r="AE304" s="17" t="n"/>
      <c r="AF304" s="16" t="n"/>
      <c r="AG304" s="17" t="n"/>
      <c r="AH304" s="17" t="n"/>
      <c r="AI304" s="19">
        <f>IF(AE304="","",AE304+IF(AF304="",TA_NOC,AF304))</f>
        <v/>
      </c>
      <c r="AJ304" s="15">
        <f>IF(AE304="","",IF(AG304="",DATADATE,AG304)-AE304)</f>
        <v/>
      </c>
      <c r="AK304" s="15">
        <f>IF(OR(AI304="",AG304&lt;&gt;""),"",IF(DATADATE&gt;AI304,"OVERDUE",""))</f>
        <v/>
      </c>
      <c r="AL304" s="15">
        <f>IF(AH304="","",IF(AH304&lt;DATADATE,"EXPIRED",IF(AH304-DATADATE&lt;=WARN_EXP,"EXPIRING","")))</f>
        <v/>
      </c>
      <c r="AM304" s="16" t="n"/>
      <c r="AN304" s="16" t="n"/>
      <c r="AO304" s="16" t="n"/>
      <c r="AP304" s="16" t="n"/>
    </row>
    <row r="305">
      <c r="A305" s="15">
        <f>IF(AA305="","",PROJ&amp;"-NOC-"&amp;Z305&amp;"-"&amp;TEXT(AA305,"0000"))</f>
        <v/>
      </c>
      <c r="B305" s="15">
        <f>IF(AA305="","",PROJ)</f>
        <v/>
      </c>
      <c r="C305" s="16" t="n"/>
      <c r="D305" s="16" t="n"/>
      <c r="E305" s="16" t="n"/>
      <c r="F305" s="16" t="n"/>
      <c r="G305" s="16" t="n"/>
      <c r="H305" s="16" t="n"/>
      <c r="I305" s="16" t="n"/>
      <c r="J305" s="16" t="n"/>
      <c r="K305" s="16" t="n"/>
      <c r="L305" s="16" t="n"/>
      <c r="M305" s="16" t="n"/>
      <c r="N305" s="16" t="n"/>
      <c r="O305" s="17" t="n"/>
      <c r="P305" s="16" t="n"/>
      <c r="Q305" s="16" t="n"/>
      <c r="R305" s="16" t="n"/>
      <c r="S305" s="16" t="n"/>
      <c r="T305" s="16" t="n"/>
      <c r="U305" s="16" t="n"/>
      <c r="V305" s="16" t="n"/>
      <c r="W305" s="16" t="n"/>
      <c r="X305" s="16" t="n"/>
      <c r="Y305" s="16" t="n"/>
      <c r="Z305" s="16" t="n"/>
      <c r="AA305" s="16" t="n"/>
      <c r="AB305" s="18" t="n"/>
      <c r="AC305" s="15">
        <f>IF(A305="","",IF(AB305=_xlfn.MAXIFS('Register'!$AB$6:$AB$505,'Register'!$A$6:$A$505,A305),"Y","N"))</f>
        <v/>
      </c>
      <c r="AD305" s="15">
        <f>IF(A305="","",COUNTIF('Register'!$A$6:$A$505,A305))</f>
        <v/>
      </c>
      <c r="AE305" s="17" t="n"/>
      <c r="AF305" s="16" t="n"/>
      <c r="AG305" s="17" t="n"/>
      <c r="AH305" s="17" t="n"/>
      <c r="AI305" s="19">
        <f>IF(AE305="","",AE305+IF(AF305="",TA_NOC,AF305))</f>
        <v/>
      </c>
      <c r="AJ305" s="15">
        <f>IF(AE305="","",IF(AG305="",DATADATE,AG305)-AE305)</f>
        <v/>
      </c>
      <c r="AK305" s="15">
        <f>IF(OR(AI305="",AG305&lt;&gt;""),"",IF(DATADATE&gt;AI305,"OVERDUE",""))</f>
        <v/>
      </c>
      <c r="AL305" s="15">
        <f>IF(AH305="","",IF(AH305&lt;DATADATE,"EXPIRED",IF(AH305-DATADATE&lt;=WARN_EXP,"EXPIRING","")))</f>
        <v/>
      </c>
      <c r="AM305" s="16" t="n"/>
      <c r="AN305" s="16" t="n"/>
      <c r="AO305" s="16" t="n"/>
      <c r="AP305" s="16" t="n"/>
    </row>
    <row r="306">
      <c r="A306" s="15">
        <f>IF(AA306="","",PROJ&amp;"-NOC-"&amp;Z306&amp;"-"&amp;TEXT(AA306,"0000"))</f>
        <v/>
      </c>
      <c r="B306" s="15">
        <f>IF(AA306="","",PROJ)</f>
        <v/>
      </c>
      <c r="C306" s="16" t="n"/>
      <c r="D306" s="16" t="n"/>
      <c r="E306" s="16" t="n"/>
      <c r="F306" s="16" t="n"/>
      <c r="G306" s="16" t="n"/>
      <c r="H306" s="16" t="n"/>
      <c r="I306" s="16" t="n"/>
      <c r="J306" s="16" t="n"/>
      <c r="K306" s="16" t="n"/>
      <c r="L306" s="16" t="n"/>
      <c r="M306" s="16" t="n"/>
      <c r="N306" s="16" t="n"/>
      <c r="O306" s="17" t="n"/>
      <c r="P306" s="16" t="n"/>
      <c r="Q306" s="16" t="n"/>
      <c r="R306" s="16" t="n"/>
      <c r="S306" s="16" t="n"/>
      <c r="T306" s="16" t="n"/>
      <c r="U306" s="16" t="n"/>
      <c r="V306" s="16" t="n"/>
      <c r="W306" s="16" t="n"/>
      <c r="X306" s="16" t="n"/>
      <c r="Y306" s="16" t="n"/>
      <c r="Z306" s="16" t="n"/>
      <c r="AA306" s="16" t="n"/>
      <c r="AB306" s="18" t="n"/>
      <c r="AC306" s="15">
        <f>IF(A306="","",IF(AB306=_xlfn.MAXIFS('Register'!$AB$6:$AB$505,'Register'!$A$6:$A$505,A306),"Y","N"))</f>
        <v/>
      </c>
      <c r="AD306" s="15">
        <f>IF(A306="","",COUNTIF('Register'!$A$6:$A$505,A306))</f>
        <v/>
      </c>
      <c r="AE306" s="17" t="n"/>
      <c r="AF306" s="16" t="n"/>
      <c r="AG306" s="17" t="n"/>
      <c r="AH306" s="17" t="n"/>
      <c r="AI306" s="19">
        <f>IF(AE306="","",AE306+IF(AF306="",TA_NOC,AF306))</f>
        <v/>
      </c>
      <c r="AJ306" s="15">
        <f>IF(AE306="","",IF(AG306="",DATADATE,AG306)-AE306)</f>
        <v/>
      </c>
      <c r="AK306" s="15">
        <f>IF(OR(AI306="",AG306&lt;&gt;""),"",IF(DATADATE&gt;AI306,"OVERDUE",""))</f>
        <v/>
      </c>
      <c r="AL306" s="15">
        <f>IF(AH306="","",IF(AH306&lt;DATADATE,"EXPIRED",IF(AH306-DATADATE&lt;=WARN_EXP,"EXPIRING","")))</f>
        <v/>
      </c>
      <c r="AM306" s="16" t="n"/>
      <c r="AN306" s="16" t="n"/>
      <c r="AO306" s="16" t="n"/>
      <c r="AP306" s="16" t="n"/>
    </row>
    <row r="307">
      <c r="A307" s="15">
        <f>IF(AA307="","",PROJ&amp;"-NOC-"&amp;Z307&amp;"-"&amp;TEXT(AA307,"0000"))</f>
        <v/>
      </c>
      <c r="B307" s="15">
        <f>IF(AA307="","",PROJ)</f>
        <v/>
      </c>
      <c r="C307" s="16" t="n"/>
      <c r="D307" s="16" t="n"/>
      <c r="E307" s="16" t="n"/>
      <c r="F307" s="16" t="n"/>
      <c r="G307" s="16" t="n"/>
      <c r="H307" s="16" t="n"/>
      <c r="I307" s="16" t="n"/>
      <c r="J307" s="16" t="n"/>
      <c r="K307" s="16" t="n"/>
      <c r="L307" s="16" t="n"/>
      <c r="M307" s="16" t="n"/>
      <c r="N307" s="16" t="n"/>
      <c r="O307" s="17" t="n"/>
      <c r="P307" s="16" t="n"/>
      <c r="Q307" s="16" t="n"/>
      <c r="R307" s="16" t="n"/>
      <c r="S307" s="16" t="n"/>
      <c r="T307" s="16" t="n"/>
      <c r="U307" s="16" t="n"/>
      <c r="V307" s="16" t="n"/>
      <c r="W307" s="16" t="n"/>
      <c r="X307" s="16" t="n"/>
      <c r="Y307" s="16" t="n"/>
      <c r="Z307" s="16" t="n"/>
      <c r="AA307" s="16" t="n"/>
      <c r="AB307" s="18" t="n"/>
      <c r="AC307" s="15">
        <f>IF(A307="","",IF(AB307=_xlfn.MAXIFS('Register'!$AB$6:$AB$505,'Register'!$A$6:$A$505,A307),"Y","N"))</f>
        <v/>
      </c>
      <c r="AD307" s="15">
        <f>IF(A307="","",COUNTIF('Register'!$A$6:$A$505,A307))</f>
        <v/>
      </c>
      <c r="AE307" s="17" t="n"/>
      <c r="AF307" s="16" t="n"/>
      <c r="AG307" s="17" t="n"/>
      <c r="AH307" s="17" t="n"/>
      <c r="AI307" s="19">
        <f>IF(AE307="","",AE307+IF(AF307="",TA_NOC,AF307))</f>
        <v/>
      </c>
      <c r="AJ307" s="15">
        <f>IF(AE307="","",IF(AG307="",DATADATE,AG307)-AE307)</f>
        <v/>
      </c>
      <c r="AK307" s="15">
        <f>IF(OR(AI307="",AG307&lt;&gt;""),"",IF(DATADATE&gt;AI307,"OVERDUE",""))</f>
        <v/>
      </c>
      <c r="AL307" s="15">
        <f>IF(AH307="","",IF(AH307&lt;DATADATE,"EXPIRED",IF(AH307-DATADATE&lt;=WARN_EXP,"EXPIRING","")))</f>
        <v/>
      </c>
      <c r="AM307" s="16" t="n"/>
      <c r="AN307" s="16" t="n"/>
      <c r="AO307" s="16" t="n"/>
      <c r="AP307" s="16" t="n"/>
    </row>
    <row r="308">
      <c r="A308" s="15">
        <f>IF(AA308="","",PROJ&amp;"-NOC-"&amp;Z308&amp;"-"&amp;TEXT(AA308,"0000"))</f>
        <v/>
      </c>
      <c r="B308" s="15">
        <f>IF(AA308="","",PROJ)</f>
        <v/>
      </c>
      <c r="C308" s="16" t="n"/>
      <c r="D308" s="16" t="n"/>
      <c r="E308" s="16" t="n"/>
      <c r="F308" s="16" t="n"/>
      <c r="G308" s="16" t="n"/>
      <c r="H308" s="16" t="n"/>
      <c r="I308" s="16" t="n"/>
      <c r="J308" s="16" t="n"/>
      <c r="K308" s="16" t="n"/>
      <c r="L308" s="16" t="n"/>
      <c r="M308" s="16" t="n"/>
      <c r="N308" s="16" t="n"/>
      <c r="O308" s="17" t="n"/>
      <c r="P308" s="16" t="n"/>
      <c r="Q308" s="16" t="n"/>
      <c r="R308" s="16" t="n"/>
      <c r="S308" s="16" t="n"/>
      <c r="T308" s="16" t="n"/>
      <c r="U308" s="16" t="n"/>
      <c r="V308" s="16" t="n"/>
      <c r="W308" s="16" t="n"/>
      <c r="X308" s="16" t="n"/>
      <c r="Y308" s="16" t="n"/>
      <c r="Z308" s="16" t="n"/>
      <c r="AA308" s="16" t="n"/>
      <c r="AB308" s="18" t="n"/>
      <c r="AC308" s="15">
        <f>IF(A308="","",IF(AB308=_xlfn.MAXIFS('Register'!$AB$6:$AB$505,'Register'!$A$6:$A$505,A308),"Y","N"))</f>
        <v/>
      </c>
      <c r="AD308" s="15">
        <f>IF(A308="","",COUNTIF('Register'!$A$6:$A$505,A308))</f>
        <v/>
      </c>
      <c r="AE308" s="17" t="n"/>
      <c r="AF308" s="16" t="n"/>
      <c r="AG308" s="17" t="n"/>
      <c r="AH308" s="17" t="n"/>
      <c r="AI308" s="19">
        <f>IF(AE308="","",AE308+IF(AF308="",TA_NOC,AF308))</f>
        <v/>
      </c>
      <c r="AJ308" s="15">
        <f>IF(AE308="","",IF(AG308="",DATADATE,AG308)-AE308)</f>
        <v/>
      </c>
      <c r="AK308" s="15">
        <f>IF(OR(AI308="",AG308&lt;&gt;""),"",IF(DATADATE&gt;AI308,"OVERDUE",""))</f>
        <v/>
      </c>
      <c r="AL308" s="15">
        <f>IF(AH308="","",IF(AH308&lt;DATADATE,"EXPIRED",IF(AH308-DATADATE&lt;=WARN_EXP,"EXPIRING","")))</f>
        <v/>
      </c>
      <c r="AM308" s="16" t="n"/>
      <c r="AN308" s="16" t="n"/>
      <c r="AO308" s="16" t="n"/>
      <c r="AP308" s="16" t="n"/>
    </row>
    <row r="309">
      <c r="A309" s="15">
        <f>IF(AA309="","",PROJ&amp;"-NOC-"&amp;Z309&amp;"-"&amp;TEXT(AA309,"0000"))</f>
        <v/>
      </c>
      <c r="B309" s="15">
        <f>IF(AA309="","",PROJ)</f>
        <v/>
      </c>
      <c r="C309" s="16" t="n"/>
      <c r="D309" s="16" t="n"/>
      <c r="E309" s="16" t="n"/>
      <c r="F309" s="16" t="n"/>
      <c r="G309" s="16" t="n"/>
      <c r="H309" s="16" t="n"/>
      <c r="I309" s="16" t="n"/>
      <c r="J309" s="16" t="n"/>
      <c r="K309" s="16" t="n"/>
      <c r="L309" s="16" t="n"/>
      <c r="M309" s="16" t="n"/>
      <c r="N309" s="16" t="n"/>
      <c r="O309" s="17" t="n"/>
      <c r="P309" s="16" t="n"/>
      <c r="Q309" s="16" t="n"/>
      <c r="R309" s="16" t="n"/>
      <c r="S309" s="16" t="n"/>
      <c r="T309" s="16" t="n"/>
      <c r="U309" s="16" t="n"/>
      <c r="V309" s="16" t="n"/>
      <c r="W309" s="16" t="n"/>
      <c r="X309" s="16" t="n"/>
      <c r="Y309" s="16" t="n"/>
      <c r="Z309" s="16" t="n"/>
      <c r="AA309" s="16" t="n"/>
      <c r="AB309" s="18" t="n"/>
      <c r="AC309" s="15">
        <f>IF(A309="","",IF(AB309=_xlfn.MAXIFS('Register'!$AB$6:$AB$505,'Register'!$A$6:$A$505,A309),"Y","N"))</f>
        <v/>
      </c>
      <c r="AD309" s="15">
        <f>IF(A309="","",COUNTIF('Register'!$A$6:$A$505,A309))</f>
        <v/>
      </c>
      <c r="AE309" s="17" t="n"/>
      <c r="AF309" s="16" t="n"/>
      <c r="AG309" s="17" t="n"/>
      <c r="AH309" s="17" t="n"/>
      <c r="AI309" s="19">
        <f>IF(AE309="","",AE309+IF(AF309="",TA_NOC,AF309))</f>
        <v/>
      </c>
      <c r="AJ309" s="15">
        <f>IF(AE309="","",IF(AG309="",DATADATE,AG309)-AE309)</f>
        <v/>
      </c>
      <c r="AK309" s="15">
        <f>IF(OR(AI309="",AG309&lt;&gt;""),"",IF(DATADATE&gt;AI309,"OVERDUE",""))</f>
        <v/>
      </c>
      <c r="AL309" s="15">
        <f>IF(AH309="","",IF(AH309&lt;DATADATE,"EXPIRED",IF(AH309-DATADATE&lt;=WARN_EXP,"EXPIRING","")))</f>
        <v/>
      </c>
      <c r="AM309" s="16" t="n"/>
      <c r="AN309" s="16" t="n"/>
      <c r="AO309" s="16" t="n"/>
      <c r="AP309" s="16" t="n"/>
    </row>
    <row r="310">
      <c r="A310" s="15">
        <f>IF(AA310="","",PROJ&amp;"-NOC-"&amp;Z310&amp;"-"&amp;TEXT(AA310,"0000"))</f>
        <v/>
      </c>
      <c r="B310" s="15">
        <f>IF(AA310="","",PROJ)</f>
        <v/>
      </c>
      <c r="C310" s="16" t="n"/>
      <c r="D310" s="16" t="n"/>
      <c r="E310" s="16" t="n"/>
      <c r="F310" s="16" t="n"/>
      <c r="G310" s="16" t="n"/>
      <c r="H310" s="16" t="n"/>
      <c r="I310" s="16" t="n"/>
      <c r="J310" s="16" t="n"/>
      <c r="K310" s="16" t="n"/>
      <c r="L310" s="16" t="n"/>
      <c r="M310" s="16" t="n"/>
      <c r="N310" s="16" t="n"/>
      <c r="O310" s="17" t="n"/>
      <c r="P310" s="16" t="n"/>
      <c r="Q310" s="16" t="n"/>
      <c r="R310" s="16" t="n"/>
      <c r="S310" s="16" t="n"/>
      <c r="T310" s="16" t="n"/>
      <c r="U310" s="16" t="n"/>
      <c r="V310" s="16" t="n"/>
      <c r="W310" s="16" t="n"/>
      <c r="X310" s="16" t="n"/>
      <c r="Y310" s="16" t="n"/>
      <c r="Z310" s="16" t="n"/>
      <c r="AA310" s="16" t="n"/>
      <c r="AB310" s="18" t="n"/>
      <c r="AC310" s="15">
        <f>IF(A310="","",IF(AB310=_xlfn.MAXIFS('Register'!$AB$6:$AB$505,'Register'!$A$6:$A$505,A310),"Y","N"))</f>
        <v/>
      </c>
      <c r="AD310" s="15">
        <f>IF(A310="","",COUNTIF('Register'!$A$6:$A$505,A310))</f>
        <v/>
      </c>
      <c r="AE310" s="17" t="n"/>
      <c r="AF310" s="16" t="n"/>
      <c r="AG310" s="17" t="n"/>
      <c r="AH310" s="17" t="n"/>
      <c r="AI310" s="19">
        <f>IF(AE310="","",AE310+IF(AF310="",TA_NOC,AF310))</f>
        <v/>
      </c>
      <c r="AJ310" s="15">
        <f>IF(AE310="","",IF(AG310="",DATADATE,AG310)-AE310)</f>
        <v/>
      </c>
      <c r="AK310" s="15">
        <f>IF(OR(AI310="",AG310&lt;&gt;""),"",IF(DATADATE&gt;AI310,"OVERDUE",""))</f>
        <v/>
      </c>
      <c r="AL310" s="15">
        <f>IF(AH310="","",IF(AH310&lt;DATADATE,"EXPIRED",IF(AH310-DATADATE&lt;=WARN_EXP,"EXPIRING","")))</f>
        <v/>
      </c>
      <c r="AM310" s="16" t="n"/>
      <c r="AN310" s="16" t="n"/>
      <c r="AO310" s="16" t="n"/>
      <c r="AP310" s="16" t="n"/>
    </row>
    <row r="311">
      <c r="A311" s="15">
        <f>IF(AA311="","",PROJ&amp;"-NOC-"&amp;Z311&amp;"-"&amp;TEXT(AA311,"0000"))</f>
        <v/>
      </c>
      <c r="B311" s="15">
        <f>IF(AA311="","",PROJ)</f>
        <v/>
      </c>
      <c r="C311" s="16" t="n"/>
      <c r="D311" s="16" t="n"/>
      <c r="E311" s="16" t="n"/>
      <c r="F311" s="16" t="n"/>
      <c r="G311" s="16" t="n"/>
      <c r="H311" s="16" t="n"/>
      <c r="I311" s="16" t="n"/>
      <c r="J311" s="16" t="n"/>
      <c r="K311" s="16" t="n"/>
      <c r="L311" s="16" t="n"/>
      <c r="M311" s="16" t="n"/>
      <c r="N311" s="16" t="n"/>
      <c r="O311" s="17" t="n"/>
      <c r="P311" s="16" t="n"/>
      <c r="Q311" s="16" t="n"/>
      <c r="R311" s="16" t="n"/>
      <c r="S311" s="16" t="n"/>
      <c r="T311" s="16" t="n"/>
      <c r="U311" s="16" t="n"/>
      <c r="V311" s="16" t="n"/>
      <c r="W311" s="16" t="n"/>
      <c r="X311" s="16" t="n"/>
      <c r="Y311" s="16" t="n"/>
      <c r="Z311" s="16" t="n"/>
      <c r="AA311" s="16" t="n"/>
      <c r="AB311" s="18" t="n"/>
      <c r="AC311" s="15">
        <f>IF(A311="","",IF(AB311=_xlfn.MAXIFS('Register'!$AB$6:$AB$505,'Register'!$A$6:$A$505,A311),"Y","N"))</f>
        <v/>
      </c>
      <c r="AD311" s="15">
        <f>IF(A311="","",COUNTIF('Register'!$A$6:$A$505,A311))</f>
        <v/>
      </c>
      <c r="AE311" s="17" t="n"/>
      <c r="AF311" s="16" t="n"/>
      <c r="AG311" s="17" t="n"/>
      <c r="AH311" s="17" t="n"/>
      <c r="AI311" s="19">
        <f>IF(AE311="","",AE311+IF(AF311="",TA_NOC,AF311))</f>
        <v/>
      </c>
      <c r="AJ311" s="15">
        <f>IF(AE311="","",IF(AG311="",DATADATE,AG311)-AE311)</f>
        <v/>
      </c>
      <c r="AK311" s="15">
        <f>IF(OR(AI311="",AG311&lt;&gt;""),"",IF(DATADATE&gt;AI311,"OVERDUE",""))</f>
        <v/>
      </c>
      <c r="AL311" s="15">
        <f>IF(AH311="","",IF(AH311&lt;DATADATE,"EXPIRED",IF(AH311-DATADATE&lt;=WARN_EXP,"EXPIRING","")))</f>
        <v/>
      </c>
      <c r="AM311" s="16" t="n"/>
      <c r="AN311" s="16" t="n"/>
      <c r="AO311" s="16" t="n"/>
      <c r="AP311" s="16" t="n"/>
    </row>
    <row r="312">
      <c r="A312" s="15">
        <f>IF(AA312="","",PROJ&amp;"-NOC-"&amp;Z312&amp;"-"&amp;TEXT(AA312,"0000"))</f>
        <v/>
      </c>
      <c r="B312" s="15">
        <f>IF(AA312="","",PROJ)</f>
        <v/>
      </c>
      <c r="C312" s="16" t="n"/>
      <c r="D312" s="16" t="n"/>
      <c r="E312" s="16" t="n"/>
      <c r="F312" s="16" t="n"/>
      <c r="G312" s="16" t="n"/>
      <c r="H312" s="16" t="n"/>
      <c r="I312" s="16" t="n"/>
      <c r="J312" s="16" t="n"/>
      <c r="K312" s="16" t="n"/>
      <c r="L312" s="16" t="n"/>
      <c r="M312" s="16" t="n"/>
      <c r="N312" s="16" t="n"/>
      <c r="O312" s="17" t="n"/>
      <c r="P312" s="16" t="n"/>
      <c r="Q312" s="16" t="n"/>
      <c r="R312" s="16" t="n"/>
      <c r="S312" s="16" t="n"/>
      <c r="T312" s="16" t="n"/>
      <c r="U312" s="16" t="n"/>
      <c r="V312" s="16" t="n"/>
      <c r="W312" s="16" t="n"/>
      <c r="X312" s="16" t="n"/>
      <c r="Y312" s="16" t="n"/>
      <c r="Z312" s="16" t="n"/>
      <c r="AA312" s="16" t="n"/>
      <c r="AB312" s="18" t="n"/>
      <c r="AC312" s="15">
        <f>IF(A312="","",IF(AB312=_xlfn.MAXIFS('Register'!$AB$6:$AB$505,'Register'!$A$6:$A$505,A312),"Y","N"))</f>
        <v/>
      </c>
      <c r="AD312" s="15">
        <f>IF(A312="","",COUNTIF('Register'!$A$6:$A$505,A312))</f>
        <v/>
      </c>
      <c r="AE312" s="17" t="n"/>
      <c r="AF312" s="16" t="n"/>
      <c r="AG312" s="17" t="n"/>
      <c r="AH312" s="17" t="n"/>
      <c r="AI312" s="19">
        <f>IF(AE312="","",AE312+IF(AF312="",TA_NOC,AF312))</f>
        <v/>
      </c>
      <c r="AJ312" s="15">
        <f>IF(AE312="","",IF(AG312="",DATADATE,AG312)-AE312)</f>
        <v/>
      </c>
      <c r="AK312" s="15">
        <f>IF(OR(AI312="",AG312&lt;&gt;""),"",IF(DATADATE&gt;AI312,"OVERDUE",""))</f>
        <v/>
      </c>
      <c r="AL312" s="15">
        <f>IF(AH312="","",IF(AH312&lt;DATADATE,"EXPIRED",IF(AH312-DATADATE&lt;=WARN_EXP,"EXPIRING","")))</f>
        <v/>
      </c>
      <c r="AM312" s="16" t="n"/>
      <c r="AN312" s="16" t="n"/>
      <c r="AO312" s="16" t="n"/>
      <c r="AP312" s="16" t="n"/>
    </row>
    <row r="313">
      <c r="A313" s="15">
        <f>IF(AA313="","",PROJ&amp;"-NOC-"&amp;Z313&amp;"-"&amp;TEXT(AA313,"0000"))</f>
        <v/>
      </c>
      <c r="B313" s="15">
        <f>IF(AA313="","",PROJ)</f>
        <v/>
      </c>
      <c r="C313" s="16" t="n"/>
      <c r="D313" s="16" t="n"/>
      <c r="E313" s="16" t="n"/>
      <c r="F313" s="16" t="n"/>
      <c r="G313" s="16" t="n"/>
      <c r="H313" s="16" t="n"/>
      <c r="I313" s="16" t="n"/>
      <c r="J313" s="16" t="n"/>
      <c r="K313" s="16" t="n"/>
      <c r="L313" s="16" t="n"/>
      <c r="M313" s="16" t="n"/>
      <c r="N313" s="16" t="n"/>
      <c r="O313" s="17" t="n"/>
      <c r="P313" s="16" t="n"/>
      <c r="Q313" s="16" t="n"/>
      <c r="R313" s="16" t="n"/>
      <c r="S313" s="16" t="n"/>
      <c r="T313" s="16" t="n"/>
      <c r="U313" s="16" t="n"/>
      <c r="V313" s="16" t="n"/>
      <c r="W313" s="16" t="n"/>
      <c r="X313" s="16" t="n"/>
      <c r="Y313" s="16" t="n"/>
      <c r="Z313" s="16" t="n"/>
      <c r="AA313" s="16" t="n"/>
      <c r="AB313" s="18" t="n"/>
      <c r="AC313" s="15">
        <f>IF(A313="","",IF(AB313=_xlfn.MAXIFS('Register'!$AB$6:$AB$505,'Register'!$A$6:$A$505,A313),"Y","N"))</f>
        <v/>
      </c>
      <c r="AD313" s="15">
        <f>IF(A313="","",COUNTIF('Register'!$A$6:$A$505,A313))</f>
        <v/>
      </c>
      <c r="AE313" s="17" t="n"/>
      <c r="AF313" s="16" t="n"/>
      <c r="AG313" s="17" t="n"/>
      <c r="AH313" s="17" t="n"/>
      <c r="AI313" s="19">
        <f>IF(AE313="","",AE313+IF(AF313="",TA_NOC,AF313))</f>
        <v/>
      </c>
      <c r="AJ313" s="15">
        <f>IF(AE313="","",IF(AG313="",DATADATE,AG313)-AE313)</f>
        <v/>
      </c>
      <c r="AK313" s="15">
        <f>IF(OR(AI313="",AG313&lt;&gt;""),"",IF(DATADATE&gt;AI313,"OVERDUE",""))</f>
        <v/>
      </c>
      <c r="AL313" s="15">
        <f>IF(AH313="","",IF(AH313&lt;DATADATE,"EXPIRED",IF(AH313-DATADATE&lt;=WARN_EXP,"EXPIRING","")))</f>
        <v/>
      </c>
      <c r="AM313" s="16" t="n"/>
      <c r="AN313" s="16" t="n"/>
      <c r="AO313" s="16" t="n"/>
      <c r="AP313" s="16" t="n"/>
    </row>
    <row r="314">
      <c r="A314" s="15">
        <f>IF(AA314="","",PROJ&amp;"-NOC-"&amp;Z314&amp;"-"&amp;TEXT(AA314,"0000"))</f>
        <v/>
      </c>
      <c r="B314" s="15">
        <f>IF(AA314="","",PROJ)</f>
        <v/>
      </c>
      <c r="C314" s="16" t="n"/>
      <c r="D314" s="16" t="n"/>
      <c r="E314" s="16" t="n"/>
      <c r="F314" s="16" t="n"/>
      <c r="G314" s="16" t="n"/>
      <c r="H314" s="16" t="n"/>
      <c r="I314" s="16" t="n"/>
      <c r="J314" s="16" t="n"/>
      <c r="K314" s="16" t="n"/>
      <c r="L314" s="16" t="n"/>
      <c r="M314" s="16" t="n"/>
      <c r="N314" s="16" t="n"/>
      <c r="O314" s="17" t="n"/>
      <c r="P314" s="16" t="n"/>
      <c r="Q314" s="16" t="n"/>
      <c r="R314" s="16" t="n"/>
      <c r="S314" s="16" t="n"/>
      <c r="T314" s="16" t="n"/>
      <c r="U314" s="16" t="n"/>
      <c r="V314" s="16" t="n"/>
      <c r="W314" s="16" t="n"/>
      <c r="X314" s="16" t="n"/>
      <c r="Y314" s="16" t="n"/>
      <c r="Z314" s="16" t="n"/>
      <c r="AA314" s="16" t="n"/>
      <c r="AB314" s="18" t="n"/>
      <c r="AC314" s="15">
        <f>IF(A314="","",IF(AB314=_xlfn.MAXIFS('Register'!$AB$6:$AB$505,'Register'!$A$6:$A$505,A314),"Y","N"))</f>
        <v/>
      </c>
      <c r="AD314" s="15">
        <f>IF(A314="","",COUNTIF('Register'!$A$6:$A$505,A314))</f>
        <v/>
      </c>
      <c r="AE314" s="17" t="n"/>
      <c r="AF314" s="16" t="n"/>
      <c r="AG314" s="17" t="n"/>
      <c r="AH314" s="17" t="n"/>
      <c r="AI314" s="19">
        <f>IF(AE314="","",AE314+IF(AF314="",TA_NOC,AF314))</f>
        <v/>
      </c>
      <c r="AJ314" s="15">
        <f>IF(AE314="","",IF(AG314="",DATADATE,AG314)-AE314)</f>
        <v/>
      </c>
      <c r="AK314" s="15">
        <f>IF(OR(AI314="",AG314&lt;&gt;""),"",IF(DATADATE&gt;AI314,"OVERDUE",""))</f>
        <v/>
      </c>
      <c r="AL314" s="15">
        <f>IF(AH314="","",IF(AH314&lt;DATADATE,"EXPIRED",IF(AH314-DATADATE&lt;=WARN_EXP,"EXPIRING","")))</f>
        <v/>
      </c>
      <c r="AM314" s="16" t="n"/>
      <c r="AN314" s="16" t="n"/>
      <c r="AO314" s="16" t="n"/>
      <c r="AP314" s="16" t="n"/>
    </row>
    <row r="315">
      <c r="A315" s="15">
        <f>IF(AA315="","",PROJ&amp;"-NOC-"&amp;Z315&amp;"-"&amp;TEXT(AA315,"0000"))</f>
        <v/>
      </c>
      <c r="B315" s="15">
        <f>IF(AA315="","",PROJ)</f>
        <v/>
      </c>
      <c r="C315" s="16" t="n"/>
      <c r="D315" s="16" t="n"/>
      <c r="E315" s="16" t="n"/>
      <c r="F315" s="16" t="n"/>
      <c r="G315" s="16" t="n"/>
      <c r="H315" s="16" t="n"/>
      <c r="I315" s="16" t="n"/>
      <c r="J315" s="16" t="n"/>
      <c r="K315" s="16" t="n"/>
      <c r="L315" s="16" t="n"/>
      <c r="M315" s="16" t="n"/>
      <c r="N315" s="16" t="n"/>
      <c r="O315" s="17" t="n"/>
      <c r="P315" s="16" t="n"/>
      <c r="Q315" s="16" t="n"/>
      <c r="R315" s="16" t="n"/>
      <c r="S315" s="16" t="n"/>
      <c r="T315" s="16" t="n"/>
      <c r="U315" s="16" t="n"/>
      <c r="V315" s="16" t="n"/>
      <c r="W315" s="16" t="n"/>
      <c r="X315" s="16" t="n"/>
      <c r="Y315" s="16" t="n"/>
      <c r="Z315" s="16" t="n"/>
      <c r="AA315" s="16" t="n"/>
      <c r="AB315" s="18" t="n"/>
      <c r="AC315" s="15">
        <f>IF(A315="","",IF(AB315=_xlfn.MAXIFS('Register'!$AB$6:$AB$505,'Register'!$A$6:$A$505,A315),"Y","N"))</f>
        <v/>
      </c>
      <c r="AD315" s="15">
        <f>IF(A315="","",COUNTIF('Register'!$A$6:$A$505,A315))</f>
        <v/>
      </c>
      <c r="AE315" s="17" t="n"/>
      <c r="AF315" s="16" t="n"/>
      <c r="AG315" s="17" t="n"/>
      <c r="AH315" s="17" t="n"/>
      <c r="AI315" s="19">
        <f>IF(AE315="","",AE315+IF(AF315="",TA_NOC,AF315))</f>
        <v/>
      </c>
      <c r="AJ315" s="15">
        <f>IF(AE315="","",IF(AG315="",DATADATE,AG315)-AE315)</f>
        <v/>
      </c>
      <c r="AK315" s="15">
        <f>IF(OR(AI315="",AG315&lt;&gt;""),"",IF(DATADATE&gt;AI315,"OVERDUE",""))</f>
        <v/>
      </c>
      <c r="AL315" s="15">
        <f>IF(AH315="","",IF(AH315&lt;DATADATE,"EXPIRED",IF(AH315-DATADATE&lt;=WARN_EXP,"EXPIRING","")))</f>
        <v/>
      </c>
      <c r="AM315" s="16" t="n"/>
      <c r="AN315" s="16" t="n"/>
      <c r="AO315" s="16" t="n"/>
      <c r="AP315" s="16" t="n"/>
    </row>
    <row r="316">
      <c r="A316" s="15">
        <f>IF(AA316="","",PROJ&amp;"-NOC-"&amp;Z316&amp;"-"&amp;TEXT(AA316,"0000"))</f>
        <v/>
      </c>
      <c r="B316" s="15">
        <f>IF(AA316="","",PROJ)</f>
        <v/>
      </c>
      <c r="C316" s="16" t="n"/>
      <c r="D316" s="16" t="n"/>
      <c r="E316" s="16" t="n"/>
      <c r="F316" s="16" t="n"/>
      <c r="G316" s="16" t="n"/>
      <c r="H316" s="16" t="n"/>
      <c r="I316" s="16" t="n"/>
      <c r="J316" s="16" t="n"/>
      <c r="K316" s="16" t="n"/>
      <c r="L316" s="16" t="n"/>
      <c r="M316" s="16" t="n"/>
      <c r="N316" s="16" t="n"/>
      <c r="O316" s="17" t="n"/>
      <c r="P316" s="16" t="n"/>
      <c r="Q316" s="16" t="n"/>
      <c r="R316" s="16" t="n"/>
      <c r="S316" s="16" t="n"/>
      <c r="T316" s="16" t="n"/>
      <c r="U316" s="16" t="n"/>
      <c r="V316" s="16" t="n"/>
      <c r="W316" s="16" t="n"/>
      <c r="X316" s="16" t="n"/>
      <c r="Y316" s="16" t="n"/>
      <c r="Z316" s="16" t="n"/>
      <c r="AA316" s="16" t="n"/>
      <c r="AB316" s="18" t="n"/>
      <c r="AC316" s="15">
        <f>IF(A316="","",IF(AB316=_xlfn.MAXIFS('Register'!$AB$6:$AB$505,'Register'!$A$6:$A$505,A316),"Y","N"))</f>
        <v/>
      </c>
      <c r="AD316" s="15">
        <f>IF(A316="","",COUNTIF('Register'!$A$6:$A$505,A316))</f>
        <v/>
      </c>
      <c r="AE316" s="17" t="n"/>
      <c r="AF316" s="16" t="n"/>
      <c r="AG316" s="17" t="n"/>
      <c r="AH316" s="17" t="n"/>
      <c r="AI316" s="19">
        <f>IF(AE316="","",AE316+IF(AF316="",TA_NOC,AF316))</f>
        <v/>
      </c>
      <c r="AJ316" s="15">
        <f>IF(AE316="","",IF(AG316="",DATADATE,AG316)-AE316)</f>
        <v/>
      </c>
      <c r="AK316" s="15">
        <f>IF(OR(AI316="",AG316&lt;&gt;""),"",IF(DATADATE&gt;AI316,"OVERDUE",""))</f>
        <v/>
      </c>
      <c r="AL316" s="15">
        <f>IF(AH316="","",IF(AH316&lt;DATADATE,"EXPIRED",IF(AH316-DATADATE&lt;=WARN_EXP,"EXPIRING","")))</f>
        <v/>
      </c>
      <c r="AM316" s="16" t="n"/>
      <c r="AN316" s="16" t="n"/>
      <c r="AO316" s="16" t="n"/>
      <c r="AP316" s="16" t="n"/>
    </row>
    <row r="317">
      <c r="A317" s="15">
        <f>IF(AA317="","",PROJ&amp;"-NOC-"&amp;Z317&amp;"-"&amp;TEXT(AA317,"0000"))</f>
        <v/>
      </c>
      <c r="B317" s="15">
        <f>IF(AA317="","",PROJ)</f>
        <v/>
      </c>
      <c r="C317" s="16" t="n"/>
      <c r="D317" s="16" t="n"/>
      <c r="E317" s="16" t="n"/>
      <c r="F317" s="16" t="n"/>
      <c r="G317" s="16" t="n"/>
      <c r="H317" s="16" t="n"/>
      <c r="I317" s="16" t="n"/>
      <c r="J317" s="16" t="n"/>
      <c r="K317" s="16" t="n"/>
      <c r="L317" s="16" t="n"/>
      <c r="M317" s="16" t="n"/>
      <c r="N317" s="16" t="n"/>
      <c r="O317" s="17" t="n"/>
      <c r="P317" s="16" t="n"/>
      <c r="Q317" s="16" t="n"/>
      <c r="R317" s="16" t="n"/>
      <c r="S317" s="16" t="n"/>
      <c r="T317" s="16" t="n"/>
      <c r="U317" s="16" t="n"/>
      <c r="V317" s="16" t="n"/>
      <c r="W317" s="16" t="n"/>
      <c r="X317" s="16" t="n"/>
      <c r="Y317" s="16" t="n"/>
      <c r="Z317" s="16" t="n"/>
      <c r="AA317" s="16" t="n"/>
      <c r="AB317" s="18" t="n"/>
      <c r="AC317" s="15">
        <f>IF(A317="","",IF(AB317=_xlfn.MAXIFS('Register'!$AB$6:$AB$505,'Register'!$A$6:$A$505,A317),"Y","N"))</f>
        <v/>
      </c>
      <c r="AD317" s="15">
        <f>IF(A317="","",COUNTIF('Register'!$A$6:$A$505,A317))</f>
        <v/>
      </c>
      <c r="AE317" s="17" t="n"/>
      <c r="AF317" s="16" t="n"/>
      <c r="AG317" s="17" t="n"/>
      <c r="AH317" s="17" t="n"/>
      <c r="AI317" s="19">
        <f>IF(AE317="","",AE317+IF(AF317="",TA_NOC,AF317))</f>
        <v/>
      </c>
      <c r="AJ317" s="15">
        <f>IF(AE317="","",IF(AG317="",DATADATE,AG317)-AE317)</f>
        <v/>
      </c>
      <c r="AK317" s="15">
        <f>IF(OR(AI317="",AG317&lt;&gt;""),"",IF(DATADATE&gt;AI317,"OVERDUE",""))</f>
        <v/>
      </c>
      <c r="AL317" s="15">
        <f>IF(AH317="","",IF(AH317&lt;DATADATE,"EXPIRED",IF(AH317-DATADATE&lt;=WARN_EXP,"EXPIRING","")))</f>
        <v/>
      </c>
      <c r="AM317" s="16" t="n"/>
      <c r="AN317" s="16" t="n"/>
      <c r="AO317" s="16" t="n"/>
      <c r="AP317" s="16" t="n"/>
    </row>
    <row r="318">
      <c r="A318" s="15">
        <f>IF(AA318="","",PROJ&amp;"-NOC-"&amp;Z318&amp;"-"&amp;TEXT(AA318,"0000"))</f>
        <v/>
      </c>
      <c r="B318" s="15">
        <f>IF(AA318="","",PROJ)</f>
        <v/>
      </c>
      <c r="C318" s="16" t="n"/>
      <c r="D318" s="16" t="n"/>
      <c r="E318" s="16" t="n"/>
      <c r="F318" s="16" t="n"/>
      <c r="G318" s="16" t="n"/>
      <c r="H318" s="16" t="n"/>
      <c r="I318" s="16" t="n"/>
      <c r="J318" s="16" t="n"/>
      <c r="K318" s="16" t="n"/>
      <c r="L318" s="16" t="n"/>
      <c r="M318" s="16" t="n"/>
      <c r="N318" s="16" t="n"/>
      <c r="O318" s="17" t="n"/>
      <c r="P318" s="16" t="n"/>
      <c r="Q318" s="16" t="n"/>
      <c r="R318" s="16" t="n"/>
      <c r="S318" s="16" t="n"/>
      <c r="T318" s="16" t="n"/>
      <c r="U318" s="16" t="n"/>
      <c r="V318" s="16" t="n"/>
      <c r="W318" s="16" t="n"/>
      <c r="X318" s="16" t="n"/>
      <c r="Y318" s="16" t="n"/>
      <c r="Z318" s="16" t="n"/>
      <c r="AA318" s="16" t="n"/>
      <c r="AB318" s="18" t="n"/>
      <c r="AC318" s="15">
        <f>IF(A318="","",IF(AB318=_xlfn.MAXIFS('Register'!$AB$6:$AB$505,'Register'!$A$6:$A$505,A318),"Y","N"))</f>
        <v/>
      </c>
      <c r="AD318" s="15">
        <f>IF(A318="","",COUNTIF('Register'!$A$6:$A$505,A318))</f>
        <v/>
      </c>
      <c r="AE318" s="17" t="n"/>
      <c r="AF318" s="16" t="n"/>
      <c r="AG318" s="17" t="n"/>
      <c r="AH318" s="17" t="n"/>
      <c r="AI318" s="19">
        <f>IF(AE318="","",AE318+IF(AF318="",TA_NOC,AF318))</f>
        <v/>
      </c>
      <c r="AJ318" s="15">
        <f>IF(AE318="","",IF(AG318="",DATADATE,AG318)-AE318)</f>
        <v/>
      </c>
      <c r="AK318" s="15">
        <f>IF(OR(AI318="",AG318&lt;&gt;""),"",IF(DATADATE&gt;AI318,"OVERDUE",""))</f>
        <v/>
      </c>
      <c r="AL318" s="15">
        <f>IF(AH318="","",IF(AH318&lt;DATADATE,"EXPIRED",IF(AH318-DATADATE&lt;=WARN_EXP,"EXPIRING","")))</f>
        <v/>
      </c>
      <c r="AM318" s="16" t="n"/>
      <c r="AN318" s="16" t="n"/>
      <c r="AO318" s="16" t="n"/>
      <c r="AP318" s="16" t="n"/>
    </row>
    <row r="319">
      <c r="A319" s="15">
        <f>IF(AA319="","",PROJ&amp;"-NOC-"&amp;Z319&amp;"-"&amp;TEXT(AA319,"0000"))</f>
        <v/>
      </c>
      <c r="B319" s="15">
        <f>IF(AA319="","",PROJ)</f>
        <v/>
      </c>
      <c r="C319" s="16" t="n"/>
      <c r="D319" s="16" t="n"/>
      <c r="E319" s="16" t="n"/>
      <c r="F319" s="16" t="n"/>
      <c r="G319" s="16" t="n"/>
      <c r="H319" s="16" t="n"/>
      <c r="I319" s="16" t="n"/>
      <c r="J319" s="16" t="n"/>
      <c r="K319" s="16" t="n"/>
      <c r="L319" s="16" t="n"/>
      <c r="M319" s="16" t="n"/>
      <c r="N319" s="16" t="n"/>
      <c r="O319" s="17" t="n"/>
      <c r="P319" s="16" t="n"/>
      <c r="Q319" s="16" t="n"/>
      <c r="R319" s="16" t="n"/>
      <c r="S319" s="16" t="n"/>
      <c r="T319" s="16" t="n"/>
      <c r="U319" s="16" t="n"/>
      <c r="V319" s="16" t="n"/>
      <c r="W319" s="16" t="n"/>
      <c r="X319" s="16" t="n"/>
      <c r="Y319" s="16" t="n"/>
      <c r="Z319" s="16" t="n"/>
      <c r="AA319" s="16" t="n"/>
      <c r="AB319" s="18" t="n"/>
      <c r="AC319" s="15">
        <f>IF(A319="","",IF(AB319=_xlfn.MAXIFS('Register'!$AB$6:$AB$505,'Register'!$A$6:$A$505,A319),"Y","N"))</f>
        <v/>
      </c>
      <c r="AD319" s="15">
        <f>IF(A319="","",COUNTIF('Register'!$A$6:$A$505,A319))</f>
        <v/>
      </c>
      <c r="AE319" s="17" t="n"/>
      <c r="AF319" s="16" t="n"/>
      <c r="AG319" s="17" t="n"/>
      <c r="AH319" s="17" t="n"/>
      <c r="AI319" s="19">
        <f>IF(AE319="","",AE319+IF(AF319="",TA_NOC,AF319))</f>
        <v/>
      </c>
      <c r="AJ319" s="15">
        <f>IF(AE319="","",IF(AG319="",DATADATE,AG319)-AE319)</f>
        <v/>
      </c>
      <c r="AK319" s="15">
        <f>IF(OR(AI319="",AG319&lt;&gt;""),"",IF(DATADATE&gt;AI319,"OVERDUE",""))</f>
        <v/>
      </c>
      <c r="AL319" s="15">
        <f>IF(AH319="","",IF(AH319&lt;DATADATE,"EXPIRED",IF(AH319-DATADATE&lt;=WARN_EXP,"EXPIRING","")))</f>
        <v/>
      </c>
      <c r="AM319" s="16" t="n"/>
      <c r="AN319" s="16" t="n"/>
      <c r="AO319" s="16" t="n"/>
      <c r="AP319" s="16" t="n"/>
    </row>
    <row r="320">
      <c r="A320" s="15">
        <f>IF(AA320="","",PROJ&amp;"-NOC-"&amp;Z320&amp;"-"&amp;TEXT(AA320,"0000"))</f>
        <v/>
      </c>
      <c r="B320" s="15">
        <f>IF(AA320="","",PROJ)</f>
        <v/>
      </c>
      <c r="C320" s="16" t="n"/>
      <c r="D320" s="16" t="n"/>
      <c r="E320" s="16" t="n"/>
      <c r="F320" s="16" t="n"/>
      <c r="G320" s="16" t="n"/>
      <c r="H320" s="16" t="n"/>
      <c r="I320" s="16" t="n"/>
      <c r="J320" s="16" t="n"/>
      <c r="K320" s="16" t="n"/>
      <c r="L320" s="16" t="n"/>
      <c r="M320" s="16" t="n"/>
      <c r="N320" s="16" t="n"/>
      <c r="O320" s="17" t="n"/>
      <c r="P320" s="16" t="n"/>
      <c r="Q320" s="16" t="n"/>
      <c r="R320" s="16" t="n"/>
      <c r="S320" s="16" t="n"/>
      <c r="T320" s="16" t="n"/>
      <c r="U320" s="16" t="n"/>
      <c r="V320" s="16" t="n"/>
      <c r="W320" s="16" t="n"/>
      <c r="X320" s="16" t="n"/>
      <c r="Y320" s="16" t="n"/>
      <c r="Z320" s="16" t="n"/>
      <c r="AA320" s="16" t="n"/>
      <c r="AB320" s="18" t="n"/>
      <c r="AC320" s="15">
        <f>IF(A320="","",IF(AB320=_xlfn.MAXIFS('Register'!$AB$6:$AB$505,'Register'!$A$6:$A$505,A320),"Y","N"))</f>
        <v/>
      </c>
      <c r="AD320" s="15">
        <f>IF(A320="","",COUNTIF('Register'!$A$6:$A$505,A320))</f>
        <v/>
      </c>
      <c r="AE320" s="17" t="n"/>
      <c r="AF320" s="16" t="n"/>
      <c r="AG320" s="17" t="n"/>
      <c r="AH320" s="17" t="n"/>
      <c r="AI320" s="19">
        <f>IF(AE320="","",AE320+IF(AF320="",TA_NOC,AF320))</f>
        <v/>
      </c>
      <c r="AJ320" s="15">
        <f>IF(AE320="","",IF(AG320="",DATADATE,AG320)-AE320)</f>
        <v/>
      </c>
      <c r="AK320" s="15">
        <f>IF(OR(AI320="",AG320&lt;&gt;""),"",IF(DATADATE&gt;AI320,"OVERDUE",""))</f>
        <v/>
      </c>
      <c r="AL320" s="15">
        <f>IF(AH320="","",IF(AH320&lt;DATADATE,"EXPIRED",IF(AH320-DATADATE&lt;=WARN_EXP,"EXPIRING","")))</f>
        <v/>
      </c>
      <c r="AM320" s="16" t="n"/>
      <c r="AN320" s="16" t="n"/>
      <c r="AO320" s="16" t="n"/>
      <c r="AP320" s="16" t="n"/>
    </row>
    <row r="321">
      <c r="A321" s="15">
        <f>IF(AA321="","",PROJ&amp;"-NOC-"&amp;Z321&amp;"-"&amp;TEXT(AA321,"0000"))</f>
        <v/>
      </c>
      <c r="B321" s="15">
        <f>IF(AA321="","",PROJ)</f>
        <v/>
      </c>
      <c r="C321" s="16" t="n"/>
      <c r="D321" s="16" t="n"/>
      <c r="E321" s="16" t="n"/>
      <c r="F321" s="16" t="n"/>
      <c r="G321" s="16" t="n"/>
      <c r="H321" s="16" t="n"/>
      <c r="I321" s="16" t="n"/>
      <c r="J321" s="16" t="n"/>
      <c r="K321" s="16" t="n"/>
      <c r="L321" s="16" t="n"/>
      <c r="M321" s="16" t="n"/>
      <c r="N321" s="16" t="n"/>
      <c r="O321" s="17" t="n"/>
      <c r="P321" s="16" t="n"/>
      <c r="Q321" s="16" t="n"/>
      <c r="R321" s="16" t="n"/>
      <c r="S321" s="16" t="n"/>
      <c r="T321" s="16" t="n"/>
      <c r="U321" s="16" t="n"/>
      <c r="V321" s="16" t="n"/>
      <c r="W321" s="16" t="n"/>
      <c r="X321" s="16" t="n"/>
      <c r="Y321" s="16" t="n"/>
      <c r="Z321" s="16" t="n"/>
      <c r="AA321" s="16" t="n"/>
      <c r="AB321" s="18" t="n"/>
      <c r="AC321" s="15">
        <f>IF(A321="","",IF(AB321=_xlfn.MAXIFS('Register'!$AB$6:$AB$505,'Register'!$A$6:$A$505,A321),"Y","N"))</f>
        <v/>
      </c>
      <c r="AD321" s="15">
        <f>IF(A321="","",COUNTIF('Register'!$A$6:$A$505,A321))</f>
        <v/>
      </c>
      <c r="AE321" s="17" t="n"/>
      <c r="AF321" s="16" t="n"/>
      <c r="AG321" s="17" t="n"/>
      <c r="AH321" s="17" t="n"/>
      <c r="AI321" s="19">
        <f>IF(AE321="","",AE321+IF(AF321="",TA_NOC,AF321))</f>
        <v/>
      </c>
      <c r="AJ321" s="15">
        <f>IF(AE321="","",IF(AG321="",DATADATE,AG321)-AE321)</f>
        <v/>
      </c>
      <c r="AK321" s="15">
        <f>IF(OR(AI321="",AG321&lt;&gt;""),"",IF(DATADATE&gt;AI321,"OVERDUE",""))</f>
        <v/>
      </c>
      <c r="AL321" s="15">
        <f>IF(AH321="","",IF(AH321&lt;DATADATE,"EXPIRED",IF(AH321-DATADATE&lt;=WARN_EXP,"EXPIRING","")))</f>
        <v/>
      </c>
      <c r="AM321" s="16" t="n"/>
      <c r="AN321" s="16" t="n"/>
      <c r="AO321" s="16" t="n"/>
      <c r="AP321" s="16" t="n"/>
    </row>
    <row r="322">
      <c r="A322" s="15">
        <f>IF(AA322="","",PROJ&amp;"-NOC-"&amp;Z322&amp;"-"&amp;TEXT(AA322,"0000"))</f>
        <v/>
      </c>
      <c r="B322" s="15">
        <f>IF(AA322="","",PROJ)</f>
        <v/>
      </c>
      <c r="C322" s="16" t="n"/>
      <c r="D322" s="16" t="n"/>
      <c r="E322" s="16" t="n"/>
      <c r="F322" s="16" t="n"/>
      <c r="G322" s="16" t="n"/>
      <c r="H322" s="16" t="n"/>
      <c r="I322" s="16" t="n"/>
      <c r="J322" s="16" t="n"/>
      <c r="K322" s="16" t="n"/>
      <c r="L322" s="16" t="n"/>
      <c r="M322" s="16" t="n"/>
      <c r="N322" s="16" t="n"/>
      <c r="O322" s="17" t="n"/>
      <c r="P322" s="16" t="n"/>
      <c r="Q322" s="16" t="n"/>
      <c r="R322" s="16" t="n"/>
      <c r="S322" s="16" t="n"/>
      <c r="T322" s="16" t="n"/>
      <c r="U322" s="16" t="n"/>
      <c r="V322" s="16" t="n"/>
      <c r="W322" s="16" t="n"/>
      <c r="X322" s="16" t="n"/>
      <c r="Y322" s="16" t="n"/>
      <c r="Z322" s="16" t="n"/>
      <c r="AA322" s="16" t="n"/>
      <c r="AB322" s="18" t="n"/>
      <c r="AC322" s="15">
        <f>IF(A322="","",IF(AB322=_xlfn.MAXIFS('Register'!$AB$6:$AB$505,'Register'!$A$6:$A$505,A322),"Y","N"))</f>
        <v/>
      </c>
      <c r="AD322" s="15">
        <f>IF(A322="","",COUNTIF('Register'!$A$6:$A$505,A322))</f>
        <v/>
      </c>
      <c r="AE322" s="17" t="n"/>
      <c r="AF322" s="16" t="n"/>
      <c r="AG322" s="17" t="n"/>
      <c r="AH322" s="17" t="n"/>
      <c r="AI322" s="19">
        <f>IF(AE322="","",AE322+IF(AF322="",TA_NOC,AF322))</f>
        <v/>
      </c>
      <c r="AJ322" s="15">
        <f>IF(AE322="","",IF(AG322="",DATADATE,AG322)-AE322)</f>
        <v/>
      </c>
      <c r="AK322" s="15">
        <f>IF(OR(AI322="",AG322&lt;&gt;""),"",IF(DATADATE&gt;AI322,"OVERDUE",""))</f>
        <v/>
      </c>
      <c r="AL322" s="15">
        <f>IF(AH322="","",IF(AH322&lt;DATADATE,"EXPIRED",IF(AH322-DATADATE&lt;=WARN_EXP,"EXPIRING","")))</f>
        <v/>
      </c>
      <c r="AM322" s="16" t="n"/>
      <c r="AN322" s="16" t="n"/>
      <c r="AO322" s="16" t="n"/>
      <c r="AP322" s="16" t="n"/>
    </row>
    <row r="323">
      <c r="A323" s="15">
        <f>IF(AA323="","",PROJ&amp;"-NOC-"&amp;Z323&amp;"-"&amp;TEXT(AA323,"0000"))</f>
        <v/>
      </c>
      <c r="B323" s="15">
        <f>IF(AA323="","",PROJ)</f>
        <v/>
      </c>
      <c r="C323" s="16" t="n"/>
      <c r="D323" s="16" t="n"/>
      <c r="E323" s="16" t="n"/>
      <c r="F323" s="16" t="n"/>
      <c r="G323" s="16" t="n"/>
      <c r="H323" s="16" t="n"/>
      <c r="I323" s="16" t="n"/>
      <c r="J323" s="16" t="n"/>
      <c r="K323" s="16" t="n"/>
      <c r="L323" s="16" t="n"/>
      <c r="M323" s="16" t="n"/>
      <c r="N323" s="16" t="n"/>
      <c r="O323" s="17" t="n"/>
      <c r="P323" s="16" t="n"/>
      <c r="Q323" s="16" t="n"/>
      <c r="R323" s="16" t="n"/>
      <c r="S323" s="16" t="n"/>
      <c r="T323" s="16" t="n"/>
      <c r="U323" s="16" t="n"/>
      <c r="V323" s="16" t="n"/>
      <c r="W323" s="16" t="n"/>
      <c r="X323" s="16" t="n"/>
      <c r="Y323" s="16" t="n"/>
      <c r="Z323" s="16" t="n"/>
      <c r="AA323" s="16" t="n"/>
      <c r="AB323" s="18" t="n"/>
      <c r="AC323" s="15">
        <f>IF(A323="","",IF(AB323=_xlfn.MAXIFS('Register'!$AB$6:$AB$505,'Register'!$A$6:$A$505,A323),"Y","N"))</f>
        <v/>
      </c>
      <c r="AD323" s="15">
        <f>IF(A323="","",COUNTIF('Register'!$A$6:$A$505,A323))</f>
        <v/>
      </c>
      <c r="AE323" s="17" t="n"/>
      <c r="AF323" s="16" t="n"/>
      <c r="AG323" s="17" t="n"/>
      <c r="AH323" s="17" t="n"/>
      <c r="AI323" s="19">
        <f>IF(AE323="","",AE323+IF(AF323="",TA_NOC,AF323))</f>
        <v/>
      </c>
      <c r="AJ323" s="15">
        <f>IF(AE323="","",IF(AG323="",DATADATE,AG323)-AE323)</f>
        <v/>
      </c>
      <c r="AK323" s="15">
        <f>IF(OR(AI323="",AG323&lt;&gt;""),"",IF(DATADATE&gt;AI323,"OVERDUE",""))</f>
        <v/>
      </c>
      <c r="AL323" s="15">
        <f>IF(AH323="","",IF(AH323&lt;DATADATE,"EXPIRED",IF(AH323-DATADATE&lt;=WARN_EXP,"EXPIRING","")))</f>
        <v/>
      </c>
      <c r="AM323" s="16" t="n"/>
      <c r="AN323" s="16" t="n"/>
      <c r="AO323" s="16" t="n"/>
      <c r="AP323" s="16" t="n"/>
    </row>
    <row r="324">
      <c r="A324" s="15">
        <f>IF(AA324="","",PROJ&amp;"-NOC-"&amp;Z324&amp;"-"&amp;TEXT(AA324,"0000"))</f>
        <v/>
      </c>
      <c r="B324" s="15">
        <f>IF(AA324="","",PROJ)</f>
        <v/>
      </c>
      <c r="C324" s="16" t="n"/>
      <c r="D324" s="16" t="n"/>
      <c r="E324" s="16" t="n"/>
      <c r="F324" s="16" t="n"/>
      <c r="G324" s="16" t="n"/>
      <c r="H324" s="16" t="n"/>
      <c r="I324" s="16" t="n"/>
      <c r="J324" s="16" t="n"/>
      <c r="K324" s="16" t="n"/>
      <c r="L324" s="16" t="n"/>
      <c r="M324" s="16" t="n"/>
      <c r="N324" s="16" t="n"/>
      <c r="O324" s="17" t="n"/>
      <c r="P324" s="16" t="n"/>
      <c r="Q324" s="16" t="n"/>
      <c r="R324" s="16" t="n"/>
      <c r="S324" s="16" t="n"/>
      <c r="T324" s="16" t="n"/>
      <c r="U324" s="16" t="n"/>
      <c r="V324" s="16" t="n"/>
      <c r="W324" s="16" t="n"/>
      <c r="X324" s="16" t="n"/>
      <c r="Y324" s="16" t="n"/>
      <c r="Z324" s="16" t="n"/>
      <c r="AA324" s="16" t="n"/>
      <c r="AB324" s="18" t="n"/>
      <c r="AC324" s="15">
        <f>IF(A324="","",IF(AB324=_xlfn.MAXIFS('Register'!$AB$6:$AB$505,'Register'!$A$6:$A$505,A324),"Y","N"))</f>
        <v/>
      </c>
      <c r="AD324" s="15">
        <f>IF(A324="","",COUNTIF('Register'!$A$6:$A$505,A324))</f>
        <v/>
      </c>
      <c r="AE324" s="17" t="n"/>
      <c r="AF324" s="16" t="n"/>
      <c r="AG324" s="17" t="n"/>
      <c r="AH324" s="17" t="n"/>
      <c r="AI324" s="19">
        <f>IF(AE324="","",AE324+IF(AF324="",TA_NOC,AF324))</f>
        <v/>
      </c>
      <c r="AJ324" s="15">
        <f>IF(AE324="","",IF(AG324="",DATADATE,AG324)-AE324)</f>
        <v/>
      </c>
      <c r="AK324" s="15">
        <f>IF(OR(AI324="",AG324&lt;&gt;""),"",IF(DATADATE&gt;AI324,"OVERDUE",""))</f>
        <v/>
      </c>
      <c r="AL324" s="15">
        <f>IF(AH324="","",IF(AH324&lt;DATADATE,"EXPIRED",IF(AH324-DATADATE&lt;=WARN_EXP,"EXPIRING","")))</f>
        <v/>
      </c>
      <c r="AM324" s="16" t="n"/>
      <c r="AN324" s="16" t="n"/>
      <c r="AO324" s="16" t="n"/>
      <c r="AP324" s="16" t="n"/>
    </row>
    <row r="325">
      <c r="A325" s="15">
        <f>IF(AA325="","",PROJ&amp;"-NOC-"&amp;Z325&amp;"-"&amp;TEXT(AA325,"0000"))</f>
        <v/>
      </c>
      <c r="B325" s="15">
        <f>IF(AA325="","",PROJ)</f>
        <v/>
      </c>
      <c r="C325" s="16" t="n"/>
      <c r="D325" s="16" t="n"/>
      <c r="E325" s="16" t="n"/>
      <c r="F325" s="16" t="n"/>
      <c r="G325" s="16" t="n"/>
      <c r="H325" s="16" t="n"/>
      <c r="I325" s="16" t="n"/>
      <c r="J325" s="16" t="n"/>
      <c r="K325" s="16" t="n"/>
      <c r="L325" s="16" t="n"/>
      <c r="M325" s="16" t="n"/>
      <c r="N325" s="16" t="n"/>
      <c r="O325" s="17" t="n"/>
      <c r="P325" s="16" t="n"/>
      <c r="Q325" s="16" t="n"/>
      <c r="R325" s="16" t="n"/>
      <c r="S325" s="16" t="n"/>
      <c r="T325" s="16" t="n"/>
      <c r="U325" s="16" t="n"/>
      <c r="V325" s="16" t="n"/>
      <c r="W325" s="16" t="n"/>
      <c r="X325" s="16" t="n"/>
      <c r="Y325" s="16" t="n"/>
      <c r="Z325" s="16" t="n"/>
      <c r="AA325" s="16" t="n"/>
      <c r="AB325" s="18" t="n"/>
      <c r="AC325" s="15">
        <f>IF(A325="","",IF(AB325=_xlfn.MAXIFS('Register'!$AB$6:$AB$505,'Register'!$A$6:$A$505,A325),"Y","N"))</f>
        <v/>
      </c>
      <c r="AD325" s="15">
        <f>IF(A325="","",COUNTIF('Register'!$A$6:$A$505,A325))</f>
        <v/>
      </c>
      <c r="AE325" s="17" t="n"/>
      <c r="AF325" s="16" t="n"/>
      <c r="AG325" s="17" t="n"/>
      <c r="AH325" s="17" t="n"/>
      <c r="AI325" s="19">
        <f>IF(AE325="","",AE325+IF(AF325="",TA_NOC,AF325))</f>
        <v/>
      </c>
      <c r="AJ325" s="15">
        <f>IF(AE325="","",IF(AG325="",DATADATE,AG325)-AE325)</f>
        <v/>
      </c>
      <c r="AK325" s="15">
        <f>IF(OR(AI325="",AG325&lt;&gt;""),"",IF(DATADATE&gt;AI325,"OVERDUE",""))</f>
        <v/>
      </c>
      <c r="AL325" s="15">
        <f>IF(AH325="","",IF(AH325&lt;DATADATE,"EXPIRED",IF(AH325-DATADATE&lt;=WARN_EXP,"EXPIRING","")))</f>
        <v/>
      </c>
      <c r="AM325" s="16" t="n"/>
      <c r="AN325" s="16" t="n"/>
      <c r="AO325" s="16" t="n"/>
      <c r="AP325" s="16" t="n"/>
    </row>
    <row r="326">
      <c r="A326" s="15">
        <f>IF(AA326="","",PROJ&amp;"-NOC-"&amp;Z326&amp;"-"&amp;TEXT(AA326,"0000"))</f>
        <v/>
      </c>
      <c r="B326" s="15">
        <f>IF(AA326="","",PROJ)</f>
        <v/>
      </c>
      <c r="C326" s="16" t="n"/>
      <c r="D326" s="16" t="n"/>
      <c r="E326" s="16" t="n"/>
      <c r="F326" s="16" t="n"/>
      <c r="G326" s="16" t="n"/>
      <c r="H326" s="16" t="n"/>
      <c r="I326" s="16" t="n"/>
      <c r="J326" s="16" t="n"/>
      <c r="K326" s="16" t="n"/>
      <c r="L326" s="16" t="n"/>
      <c r="M326" s="16" t="n"/>
      <c r="N326" s="16" t="n"/>
      <c r="O326" s="17" t="n"/>
      <c r="P326" s="16" t="n"/>
      <c r="Q326" s="16" t="n"/>
      <c r="R326" s="16" t="n"/>
      <c r="S326" s="16" t="n"/>
      <c r="T326" s="16" t="n"/>
      <c r="U326" s="16" t="n"/>
      <c r="V326" s="16" t="n"/>
      <c r="W326" s="16" t="n"/>
      <c r="X326" s="16" t="n"/>
      <c r="Y326" s="16" t="n"/>
      <c r="Z326" s="16" t="n"/>
      <c r="AA326" s="16" t="n"/>
      <c r="AB326" s="18" t="n"/>
      <c r="AC326" s="15">
        <f>IF(A326="","",IF(AB326=_xlfn.MAXIFS('Register'!$AB$6:$AB$505,'Register'!$A$6:$A$505,A326),"Y","N"))</f>
        <v/>
      </c>
      <c r="AD326" s="15">
        <f>IF(A326="","",COUNTIF('Register'!$A$6:$A$505,A326))</f>
        <v/>
      </c>
      <c r="AE326" s="17" t="n"/>
      <c r="AF326" s="16" t="n"/>
      <c r="AG326" s="17" t="n"/>
      <c r="AH326" s="17" t="n"/>
      <c r="AI326" s="19">
        <f>IF(AE326="","",AE326+IF(AF326="",TA_NOC,AF326))</f>
        <v/>
      </c>
      <c r="AJ326" s="15">
        <f>IF(AE326="","",IF(AG326="",DATADATE,AG326)-AE326)</f>
        <v/>
      </c>
      <c r="AK326" s="15">
        <f>IF(OR(AI326="",AG326&lt;&gt;""),"",IF(DATADATE&gt;AI326,"OVERDUE",""))</f>
        <v/>
      </c>
      <c r="AL326" s="15">
        <f>IF(AH326="","",IF(AH326&lt;DATADATE,"EXPIRED",IF(AH326-DATADATE&lt;=WARN_EXP,"EXPIRING","")))</f>
        <v/>
      </c>
      <c r="AM326" s="16" t="n"/>
      <c r="AN326" s="16" t="n"/>
      <c r="AO326" s="16" t="n"/>
      <c r="AP326" s="16" t="n"/>
    </row>
    <row r="327">
      <c r="A327" s="15">
        <f>IF(AA327="","",PROJ&amp;"-NOC-"&amp;Z327&amp;"-"&amp;TEXT(AA327,"0000"))</f>
        <v/>
      </c>
      <c r="B327" s="15">
        <f>IF(AA327="","",PROJ)</f>
        <v/>
      </c>
      <c r="C327" s="16" t="n"/>
      <c r="D327" s="16" t="n"/>
      <c r="E327" s="16" t="n"/>
      <c r="F327" s="16" t="n"/>
      <c r="G327" s="16" t="n"/>
      <c r="H327" s="16" t="n"/>
      <c r="I327" s="16" t="n"/>
      <c r="J327" s="16" t="n"/>
      <c r="K327" s="16" t="n"/>
      <c r="L327" s="16" t="n"/>
      <c r="M327" s="16" t="n"/>
      <c r="N327" s="16" t="n"/>
      <c r="O327" s="17" t="n"/>
      <c r="P327" s="16" t="n"/>
      <c r="Q327" s="16" t="n"/>
      <c r="R327" s="16" t="n"/>
      <c r="S327" s="16" t="n"/>
      <c r="T327" s="16" t="n"/>
      <c r="U327" s="16" t="n"/>
      <c r="V327" s="16" t="n"/>
      <c r="W327" s="16" t="n"/>
      <c r="X327" s="16" t="n"/>
      <c r="Y327" s="16" t="n"/>
      <c r="Z327" s="16" t="n"/>
      <c r="AA327" s="16" t="n"/>
      <c r="AB327" s="18" t="n"/>
      <c r="AC327" s="15">
        <f>IF(A327="","",IF(AB327=_xlfn.MAXIFS('Register'!$AB$6:$AB$505,'Register'!$A$6:$A$505,A327),"Y","N"))</f>
        <v/>
      </c>
      <c r="AD327" s="15">
        <f>IF(A327="","",COUNTIF('Register'!$A$6:$A$505,A327))</f>
        <v/>
      </c>
      <c r="AE327" s="17" t="n"/>
      <c r="AF327" s="16" t="n"/>
      <c r="AG327" s="17" t="n"/>
      <c r="AH327" s="17" t="n"/>
      <c r="AI327" s="19">
        <f>IF(AE327="","",AE327+IF(AF327="",TA_NOC,AF327))</f>
        <v/>
      </c>
      <c r="AJ327" s="15">
        <f>IF(AE327="","",IF(AG327="",DATADATE,AG327)-AE327)</f>
        <v/>
      </c>
      <c r="AK327" s="15">
        <f>IF(OR(AI327="",AG327&lt;&gt;""),"",IF(DATADATE&gt;AI327,"OVERDUE",""))</f>
        <v/>
      </c>
      <c r="AL327" s="15">
        <f>IF(AH327="","",IF(AH327&lt;DATADATE,"EXPIRED",IF(AH327-DATADATE&lt;=WARN_EXP,"EXPIRING","")))</f>
        <v/>
      </c>
      <c r="AM327" s="16" t="n"/>
      <c r="AN327" s="16" t="n"/>
      <c r="AO327" s="16" t="n"/>
      <c r="AP327" s="16" t="n"/>
    </row>
    <row r="328">
      <c r="A328" s="15">
        <f>IF(AA328="","",PROJ&amp;"-NOC-"&amp;Z328&amp;"-"&amp;TEXT(AA328,"0000"))</f>
        <v/>
      </c>
      <c r="B328" s="15">
        <f>IF(AA328="","",PROJ)</f>
        <v/>
      </c>
      <c r="C328" s="16" t="n"/>
      <c r="D328" s="16" t="n"/>
      <c r="E328" s="16" t="n"/>
      <c r="F328" s="16" t="n"/>
      <c r="G328" s="16" t="n"/>
      <c r="H328" s="16" t="n"/>
      <c r="I328" s="16" t="n"/>
      <c r="J328" s="16" t="n"/>
      <c r="K328" s="16" t="n"/>
      <c r="L328" s="16" t="n"/>
      <c r="M328" s="16" t="n"/>
      <c r="N328" s="16" t="n"/>
      <c r="O328" s="17" t="n"/>
      <c r="P328" s="16" t="n"/>
      <c r="Q328" s="16" t="n"/>
      <c r="R328" s="16" t="n"/>
      <c r="S328" s="16" t="n"/>
      <c r="T328" s="16" t="n"/>
      <c r="U328" s="16" t="n"/>
      <c r="V328" s="16" t="n"/>
      <c r="W328" s="16" t="n"/>
      <c r="X328" s="16" t="n"/>
      <c r="Y328" s="16" t="n"/>
      <c r="Z328" s="16" t="n"/>
      <c r="AA328" s="16" t="n"/>
      <c r="AB328" s="18" t="n"/>
      <c r="AC328" s="15">
        <f>IF(A328="","",IF(AB328=_xlfn.MAXIFS('Register'!$AB$6:$AB$505,'Register'!$A$6:$A$505,A328),"Y","N"))</f>
        <v/>
      </c>
      <c r="AD328" s="15">
        <f>IF(A328="","",COUNTIF('Register'!$A$6:$A$505,A328))</f>
        <v/>
      </c>
      <c r="AE328" s="17" t="n"/>
      <c r="AF328" s="16" t="n"/>
      <c r="AG328" s="17" t="n"/>
      <c r="AH328" s="17" t="n"/>
      <c r="AI328" s="19">
        <f>IF(AE328="","",AE328+IF(AF328="",TA_NOC,AF328))</f>
        <v/>
      </c>
      <c r="AJ328" s="15">
        <f>IF(AE328="","",IF(AG328="",DATADATE,AG328)-AE328)</f>
        <v/>
      </c>
      <c r="AK328" s="15">
        <f>IF(OR(AI328="",AG328&lt;&gt;""),"",IF(DATADATE&gt;AI328,"OVERDUE",""))</f>
        <v/>
      </c>
      <c r="AL328" s="15">
        <f>IF(AH328="","",IF(AH328&lt;DATADATE,"EXPIRED",IF(AH328-DATADATE&lt;=WARN_EXP,"EXPIRING","")))</f>
        <v/>
      </c>
      <c r="AM328" s="16" t="n"/>
      <c r="AN328" s="16" t="n"/>
      <c r="AO328" s="16" t="n"/>
      <c r="AP328" s="16" t="n"/>
    </row>
    <row r="329">
      <c r="A329" s="15">
        <f>IF(AA329="","",PROJ&amp;"-NOC-"&amp;Z329&amp;"-"&amp;TEXT(AA329,"0000"))</f>
        <v/>
      </c>
      <c r="B329" s="15">
        <f>IF(AA329="","",PROJ)</f>
        <v/>
      </c>
      <c r="C329" s="16" t="n"/>
      <c r="D329" s="16" t="n"/>
      <c r="E329" s="16" t="n"/>
      <c r="F329" s="16" t="n"/>
      <c r="G329" s="16" t="n"/>
      <c r="H329" s="16" t="n"/>
      <c r="I329" s="16" t="n"/>
      <c r="J329" s="16" t="n"/>
      <c r="K329" s="16" t="n"/>
      <c r="L329" s="16" t="n"/>
      <c r="M329" s="16" t="n"/>
      <c r="N329" s="16" t="n"/>
      <c r="O329" s="17" t="n"/>
      <c r="P329" s="16" t="n"/>
      <c r="Q329" s="16" t="n"/>
      <c r="R329" s="16" t="n"/>
      <c r="S329" s="16" t="n"/>
      <c r="T329" s="16" t="n"/>
      <c r="U329" s="16" t="n"/>
      <c r="V329" s="16" t="n"/>
      <c r="W329" s="16" t="n"/>
      <c r="X329" s="16" t="n"/>
      <c r="Y329" s="16" t="n"/>
      <c r="Z329" s="16" t="n"/>
      <c r="AA329" s="16" t="n"/>
      <c r="AB329" s="18" t="n"/>
      <c r="AC329" s="15">
        <f>IF(A329="","",IF(AB329=_xlfn.MAXIFS('Register'!$AB$6:$AB$505,'Register'!$A$6:$A$505,A329),"Y","N"))</f>
        <v/>
      </c>
      <c r="AD329" s="15">
        <f>IF(A329="","",COUNTIF('Register'!$A$6:$A$505,A329))</f>
        <v/>
      </c>
      <c r="AE329" s="17" t="n"/>
      <c r="AF329" s="16" t="n"/>
      <c r="AG329" s="17" t="n"/>
      <c r="AH329" s="17" t="n"/>
      <c r="AI329" s="19">
        <f>IF(AE329="","",AE329+IF(AF329="",TA_NOC,AF329))</f>
        <v/>
      </c>
      <c r="AJ329" s="15">
        <f>IF(AE329="","",IF(AG329="",DATADATE,AG329)-AE329)</f>
        <v/>
      </c>
      <c r="AK329" s="15">
        <f>IF(OR(AI329="",AG329&lt;&gt;""),"",IF(DATADATE&gt;AI329,"OVERDUE",""))</f>
        <v/>
      </c>
      <c r="AL329" s="15">
        <f>IF(AH329="","",IF(AH329&lt;DATADATE,"EXPIRED",IF(AH329-DATADATE&lt;=WARN_EXP,"EXPIRING","")))</f>
        <v/>
      </c>
      <c r="AM329" s="16" t="n"/>
      <c r="AN329" s="16" t="n"/>
      <c r="AO329" s="16" t="n"/>
      <c r="AP329" s="16" t="n"/>
    </row>
    <row r="330">
      <c r="A330" s="15">
        <f>IF(AA330="","",PROJ&amp;"-NOC-"&amp;Z330&amp;"-"&amp;TEXT(AA330,"0000"))</f>
        <v/>
      </c>
      <c r="B330" s="15">
        <f>IF(AA330="","",PROJ)</f>
        <v/>
      </c>
      <c r="C330" s="16" t="n"/>
      <c r="D330" s="16" t="n"/>
      <c r="E330" s="16" t="n"/>
      <c r="F330" s="16" t="n"/>
      <c r="G330" s="16" t="n"/>
      <c r="H330" s="16" t="n"/>
      <c r="I330" s="16" t="n"/>
      <c r="J330" s="16" t="n"/>
      <c r="K330" s="16" t="n"/>
      <c r="L330" s="16" t="n"/>
      <c r="M330" s="16" t="n"/>
      <c r="N330" s="16" t="n"/>
      <c r="O330" s="17" t="n"/>
      <c r="P330" s="16" t="n"/>
      <c r="Q330" s="16" t="n"/>
      <c r="R330" s="16" t="n"/>
      <c r="S330" s="16" t="n"/>
      <c r="T330" s="16" t="n"/>
      <c r="U330" s="16" t="n"/>
      <c r="V330" s="16" t="n"/>
      <c r="W330" s="16" t="n"/>
      <c r="X330" s="16" t="n"/>
      <c r="Y330" s="16" t="n"/>
      <c r="Z330" s="16" t="n"/>
      <c r="AA330" s="16" t="n"/>
      <c r="AB330" s="18" t="n"/>
      <c r="AC330" s="15">
        <f>IF(A330="","",IF(AB330=_xlfn.MAXIFS('Register'!$AB$6:$AB$505,'Register'!$A$6:$A$505,A330),"Y","N"))</f>
        <v/>
      </c>
      <c r="AD330" s="15">
        <f>IF(A330="","",COUNTIF('Register'!$A$6:$A$505,A330))</f>
        <v/>
      </c>
      <c r="AE330" s="17" t="n"/>
      <c r="AF330" s="16" t="n"/>
      <c r="AG330" s="17" t="n"/>
      <c r="AH330" s="17" t="n"/>
      <c r="AI330" s="19">
        <f>IF(AE330="","",AE330+IF(AF330="",TA_NOC,AF330))</f>
        <v/>
      </c>
      <c r="AJ330" s="15">
        <f>IF(AE330="","",IF(AG330="",DATADATE,AG330)-AE330)</f>
        <v/>
      </c>
      <c r="AK330" s="15">
        <f>IF(OR(AI330="",AG330&lt;&gt;""),"",IF(DATADATE&gt;AI330,"OVERDUE",""))</f>
        <v/>
      </c>
      <c r="AL330" s="15">
        <f>IF(AH330="","",IF(AH330&lt;DATADATE,"EXPIRED",IF(AH330-DATADATE&lt;=WARN_EXP,"EXPIRING","")))</f>
        <v/>
      </c>
      <c r="AM330" s="16" t="n"/>
      <c r="AN330" s="16" t="n"/>
      <c r="AO330" s="16" t="n"/>
      <c r="AP330" s="16" t="n"/>
    </row>
    <row r="331">
      <c r="A331" s="15">
        <f>IF(AA331="","",PROJ&amp;"-NOC-"&amp;Z331&amp;"-"&amp;TEXT(AA331,"0000"))</f>
        <v/>
      </c>
      <c r="B331" s="15">
        <f>IF(AA331="","",PROJ)</f>
        <v/>
      </c>
      <c r="C331" s="16" t="n"/>
      <c r="D331" s="16" t="n"/>
      <c r="E331" s="16" t="n"/>
      <c r="F331" s="16" t="n"/>
      <c r="G331" s="16" t="n"/>
      <c r="H331" s="16" t="n"/>
      <c r="I331" s="16" t="n"/>
      <c r="J331" s="16" t="n"/>
      <c r="K331" s="16" t="n"/>
      <c r="L331" s="16" t="n"/>
      <c r="M331" s="16" t="n"/>
      <c r="N331" s="16" t="n"/>
      <c r="O331" s="17" t="n"/>
      <c r="P331" s="16" t="n"/>
      <c r="Q331" s="16" t="n"/>
      <c r="R331" s="16" t="n"/>
      <c r="S331" s="16" t="n"/>
      <c r="T331" s="16" t="n"/>
      <c r="U331" s="16" t="n"/>
      <c r="V331" s="16" t="n"/>
      <c r="W331" s="16" t="n"/>
      <c r="X331" s="16" t="n"/>
      <c r="Y331" s="16" t="n"/>
      <c r="Z331" s="16" t="n"/>
      <c r="AA331" s="16" t="n"/>
      <c r="AB331" s="18" t="n"/>
      <c r="AC331" s="15">
        <f>IF(A331="","",IF(AB331=_xlfn.MAXIFS('Register'!$AB$6:$AB$505,'Register'!$A$6:$A$505,A331),"Y","N"))</f>
        <v/>
      </c>
      <c r="AD331" s="15">
        <f>IF(A331="","",COUNTIF('Register'!$A$6:$A$505,A331))</f>
        <v/>
      </c>
      <c r="AE331" s="17" t="n"/>
      <c r="AF331" s="16" t="n"/>
      <c r="AG331" s="17" t="n"/>
      <c r="AH331" s="17" t="n"/>
      <c r="AI331" s="19">
        <f>IF(AE331="","",AE331+IF(AF331="",TA_NOC,AF331))</f>
        <v/>
      </c>
      <c r="AJ331" s="15">
        <f>IF(AE331="","",IF(AG331="",DATADATE,AG331)-AE331)</f>
        <v/>
      </c>
      <c r="AK331" s="15">
        <f>IF(OR(AI331="",AG331&lt;&gt;""),"",IF(DATADATE&gt;AI331,"OVERDUE",""))</f>
        <v/>
      </c>
      <c r="AL331" s="15">
        <f>IF(AH331="","",IF(AH331&lt;DATADATE,"EXPIRED",IF(AH331-DATADATE&lt;=WARN_EXP,"EXPIRING","")))</f>
        <v/>
      </c>
      <c r="AM331" s="16" t="n"/>
      <c r="AN331" s="16" t="n"/>
      <c r="AO331" s="16" t="n"/>
      <c r="AP331" s="16" t="n"/>
    </row>
    <row r="332">
      <c r="A332" s="15">
        <f>IF(AA332="","",PROJ&amp;"-NOC-"&amp;Z332&amp;"-"&amp;TEXT(AA332,"0000"))</f>
        <v/>
      </c>
      <c r="B332" s="15">
        <f>IF(AA332="","",PROJ)</f>
        <v/>
      </c>
      <c r="C332" s="16" t="n"/>
      <c r="D332" s="16" t="n"/>
      <c r="E332" s="16" t="n"/>
      <c r="F332" s="16" t="n"/>
      <c r="G332" s="16" t="n"/>
      <c r="H332" s="16" t="n"/>
      <c r="I332" s="16" t="n"/>
      <c r="J332" s="16" t="n"/>
      <c r="K332" s="16" t="n"/>
      <c r="L332" s="16" t="n"/>
      <c r="M332" s="16" t="n"/>
      <c r="N332" s="16" t="n"/>
      <c r="O332" s="17" t="n"/>
      <c r="P332" s="16" t="n"/>
      <c r="Q332" s="16" t="n"/>
      <c r="R332" s="16" t="n"/>
      <c r="S332" s="16" t="n"/>
      <c r="T332" s="16" t="n"/>
      <c r="U332" s="16" t="n"/>
      <c r="V332" s="16" t="n"/>
      <c r="W332" s="16" t="n"/>
      <c r="X332" s="16" t="n"/>
      <c r="Y332" s="16" t="n"/>
      <c r="Z332" s="16" t="n"/>
      <c r="AA332" s="16" t="n"/>
      <c r="AB332" s="18" t="n"/>
      <c r="AC332" s="15">
        <f>IF(A332="","",IF(AB332=_xlfn.MAXIFS('Register'!$AB$6:$AB$505,'Register'!$A$6:$A$505,A332),"Y","N"))</f>
        <v/>
      </c>
      <c r="AD332" s="15">
        <f>IF(A332="","",COUNTIF('Register'!$A$6:$A$505,A332))</f>
        <v/>
      </c>
      <c r="AE332" s="17" t="n"/>
      <c r="AF332" s="16" t="n"/>
      <c r="AG332" s="17" t="n"/>
      <c r="AH332" s="17" t="n"/>
      <c r="AI332" s="19">
        <f>IF(AE332="","",AE332+IF(AF332="",TA_NOC,AF332))</f>
        <v/>
      </c>
      <c r="AJ332" s="15">
        <f>IF(AE332="","",IF(AG332="",DATADATE,AG332)-AE332)</f>
        <v/>
      </c>
      <c r="AK332" s="15">
        <f>IF(OR(AI332="",AG332&lt;&gt;""),"",IF(DATADATE&gt;AI332,"OVERDUE",""))</f>
        <v/>
      </c>
      <c r="AL332" s="15">
        <f>IF(AH332="","",IF(AH332&lt;DATADATE,"EXPIRED",IF(AH332-DATADATE&lt;=WARN_EXP,"EXPIRING","")))</f>
        <v/>
      </c>
      <c r="AM332" s="16" t="n"/>
      <c r="AN332" s="16" t="n"/>
      <c r="AO332" s="16" t="n"/>
      <c r="AP332" s="16" t="n"/>
    </row>
    <row r="333">
      <c r="A333" s="15">
        <f>IF(AA333="","",PROJ&amp;"-NOC-"&amp;Z333&amp;"-"&amp;TEXT(AA333,"0000"))</f>
        <v/>
      </c>
      <c r="B333" s="15">
        <f>IF(AA333="","",PROJ)</f>
        <v/>
      </c>
      <c r="C333" s="16" t="n"/>
      <c r="D333" s="16" t="n"/>
      <c r="E333" s="16" t="n"/>
      <c r="F333" s="16" t="n"/>
      <c r="G333" s="16" t="n"/>
      <c r="H333" s="16" t="n"/>
      <c r="I333" s="16" t="n"/>
      <c r="J333" s="16" t="n"/>
      <c r="K333" s="16" t="n"/>
      <c r="L333" s="16" t="n"/>
      <c r="M333" s="16" t="n"/>
      <c r="N333" s="16" t="n"/>
      <c r="O333" s="17" t="n"/>
      <c r="P333" s="16" t="n"/>
      <c r="Q333" s="16" t="n"/>
      <c r="R333" s="16" t="n"/>
      <c r="S333" s="16" t="n"/>
      <c r="T333" s="16" t="n"/>
      <c r="U333" s="16" t="n"/>
      <c r="V333" s="16" t="n"/>
      <c r="W333" s="16" t="n"/>
      <c r="X333" s="16" t="n"/>
      <c r="Y333" s="16" t="n"/>
      <c r="Z333" s="16" t="n"/>
      <c r="AA333" s="16" t="n"/>
      <c r="AB333" s="18" t="n"/>
      <c r="AC333" s="15">
        <f>IF(A333="","",IF(AB333=_xlfn.MAXIFS('Register'!$AB$6:$AB$505,'Register'!$A$6:$A$505,A333),"Y","N"))</f>
        <v/>
      </c>
      <c r="AD333" s="15">
        <f>IF(A333="","",COUNTIF('Register'!$A$6:$A$505,A333))</f>
        <v/>
      </c>
      <c r="AE333" s="17" t="n"/>
      <c r="AF333" s="16" t="n"/>
      <c r="AG333" s="17" t="n"/>
      <c r="AH333" s="17" t="n"/>
      <c r="AI333" s="19">
        <f>IF(AE333="","",AE333+IF(AF333="",TA_NOC,AF333))</f>
        <v/>
      </c>
      <c r="AJ333" s="15">
        <f>IF(AE333="","",IF(AG333="",DATADATE,AG333)-AE333)</f>
        <v/>
      </c>
      <c r="AK333" s="15">
        <f>IF(OR(AI333="",AG333&lt;&gt;""),"",IF(DATADATE&gt;AI333,"OVERDUE",""))</f>
        <v/>
      </c>
      <c r="AL333" s="15">
        <f>IF(AH333="","",IF(AH333&lt;DATADATE,"EXPIRED",IF(AH333-DATADATE&lt;=WARN_EXP,"EXPIRING","")))</f>
        <v/>
      </c>
      <c r="AM333" s="16" t="n"/>
      <c r="AN333" s="16" t="n"/>
      <c r="AO333" s="16" t="n"/>
      <c r="AP333" s="16" t="n"/>
    </row>
    <row r="334">
      <c r="A334" s="15">
        <f>IF(AA334="","",PROJ&amp;"-NOC-"&amp;Z334&amp;"-"&amp;TEXT(AA334,"0000"))</f>
        <v/>
      </c>
      <c r="B334" s="15">
        <f>IF(AA334="","",PROJ)</f>
        <v/>
      </c>
      <c r="C334" s="16" t="n"/>
      <c r="D334" s="16" t="n"/>
      <c r="E334" s="16" t="n"/>
      <c r="F334" s="16" t="n"/>
      <c r="G334" s="16" t="n"/>
      <c r="H334" s="16" t="n"/>
      <c r="I334" s="16" t="n"/>
      <c r="J334" s="16" t="n"/>
      <c r="K334" s="16" t="n"/>
      <c r="L334" s="16" t="n"/>
      <c r="M334" s="16" t="n"/>
      <c r="N334" s="16" t="n"/>
      <c r="O334" s="17" t="n"/>
      <c r="P334" s="16" t="n"/>
      <c r="Q334" s="16" t="n"/>
      <c r="R334" s="16" t="n"/>
      <c r="S334" s="16" t="n"/>
      <c r="T334" s="16" t="n"/>
      <c r="U334" s="16" t="n"/>
      <c r="V334" s="16" t="n"/>
      <c r="W334" s="16" t="n"/>
      <c r="X334" s="16" t="n"/>
      <c r="Y334" s="16" t="n"/>
      <c r="Z334" s="16" t="n"/>
      <c r="AA334" s="16" t="n"/>
      <c r="AB334" s="18" t="n"/>
      <c r="AC334" s="15">
        <f>IF(A334="","",IF(AB334=_xlfn.MAXIFS('Register'!$AB$6:$AB$505,'Register'!$A$6:$A$505,A334),"Y","N"))</f>
        <v/>
      </c>
      <c r="AD334" s="15">
        <f>IF(A334="","",COUNTIF('Register'!$A$6:$A$505,A334))</f>
        <v/>
      </c>
      <c r="AE334" s="17" t="n"/>
      <c r="AF334" s="16" t="n"/>
      <c r="AG334" s="17" t="n"/>
      <c r="AH334" s="17" t="n"/>
      <c r="AI334" s="19">
        <f>IF(AE334="","",AE334+IF(AF334="",TA_NOC,AF334))</f>
        <v/>
      </c>
      <c r="AJ334" s="15">
        <f>IF(AE334="","",IF(AG334="",DATADATE,AG334)-AE334)</f>
        <v/>
      </c>
      <c r="AK334" s="15">
        <f>IF(OR(AI334="",AG334&lt;&gt;""),"",IF(DATADATE&gt;AI334,"OVERDUE",""))</f>
        <v/>
      </c>
      <c r="AL334" s="15">
        <f>IF(AH334="","",IF(AH334&lt;DATADATE,"EXPIRED",IF(AH334-DATADATE&lt;=WARN_EXP,"EXPIRING","")))</f>
        <v/>
      </c>
      <c r="AM334" s="16" t="n"/>
      <c r="AN334" s="16" t="n"/>
      <c r="AO334" s="16" t="n"/>
      <c r="AP334" s="16" t="n"/>
    </row>
    <row r="335">
      <c r="A335" s="15">
        <f>IF(AA335="","",PROJ&amp;"-NOC-"&amp;Z335&amp;"-"&amp;TEXT(AA335,"0000"))</f>
        <v/>
      </c>
      <c r="B335" s="15">
        <f>IF(AA335="","",PROJ)</f>
        <v/>
      </c>
      <c r="C335" s="16" t="n"/>
      <c r="D335" s="16" t="n"/>
      <c r="E335" s="16" t="n"/>
      <c r="F335" s="16" t="n"/>
      <c r="G335" s="16" t="n"/>
      <c r="H335" s="16" t="n"/>
      <c r="I335" s="16" t="n"/>
      <c r="J335" s="16" t="n"/>
      <c r="K335" s="16" t="n"/>
      <c r="L335" s="16" t="n"/>
      <c r="M335" s="16" t="n"/>
      <c r="N335" s="16" t="n"/>
      <c r="O335" s="17" t="n"/>
      <c r="P335" s="16" t="n"/>
      <c r="Q335" s="16" t="n"/>
      <c r="R335" s="16" t="n"/>
      <c r="S335" s="16" t="n"/>
      <c r="T335" s="16" t="n"/>
      <c r="U335" s="16" t="n"/>
      <c r="V335" s="16" t="n"/>
      <c r="W335" s="16" t="n"/>
      <c r="X335" s="16" t="n"/>
      <c r="Y335" s="16" t="n"/>
      <c r="Z335" s="16" t="n"/>
      <c r="AA335" s="16" t="n"/>
      <c r="AB335" s="18" t="n"/>
      <c r="AC335" s="15">
        <f>IF(A335="","",IF(AB335=_xlfn.MAXIFS('Register'!$AB$6:$AB$505,'Register'!$A$6:$A$505,A335),"Y","N"))</f>
        <v/>
      </c>
      <c r="AD335" s="15">
        <f>IF(A335="","",COUNTIF('Register'!$A$6:$A$505,A335))</f>
        <v/>
      </c>
      <c r="AE335" s="17" t="n"/>
      <c r="AF335" s="16" t="n"/>
      <c r="AG335" s="17" t="n"/>
      <c r="AH335" s="17" t="n"/>
      <c r="AI335" s="19">
        <f>IF(AE335="","",AE335+IF(AF335="",TA_NOC,AF335))</f>
        <v/>
      </c>
      <c r="AJ335" s="15">
        <f>IF(AE335="","",IF(AG335="",DATADATE,AG335)-AE335)</f>
        <v/>
      </c>
      <c r="AK335" s="15">
        <f>IF(OR(AI335="",AG335&lt;&gt;""),"",IF(DATADATE&gt;AI335,"OVERDUE",""))</f>
        <v/>
      </c>
      <c r="AL335" s="15">
        <f>IF(AH335="","",IF(AH335&lt;DATADATE,"EXPIRED",IF(AH335-DATADATE&lt;=WARN_EXP,"EXPIRING","")))</f>
        <v/>
      </c>
      <c r="AM335" s="16" t="n"/>
      <c r="AN335" s="16" t="n"/>
      <c r="AO335" s="16" t="n"/>
      <c r="AP335" s="16" t="n"/>
    </row>
    <row r="336">
      <c r="A336" s="15">
        <f>IF(AA336="","",PROJ&amp;"-NOC-"&amp;Z336&amp;"-"&amp;TEXT(AA336,"0000"))</f>
        <v/>
      </c>
      <c r="B336" s="15">
        <f>IF(AA336="","",PROJ)</f>
        <v/>
      </c>
      <c r="C336" s="16" t="n"/>
      <c r="D336" s="16" t="n"/>
      <c r="E336" s="16" t="n"/>
      <c r="F336" s="16" t="n"/>
      <c r="G336" s="16" t="n"/>
      <c r="H336" s="16" t="n"/>
      <c r="I336" s="16" t="n"/>
      <c r="J336" s="16" t="n"/>
      <c r="K336" s="16" t="n"/>
      <c r="L336" s="16" t="n"/>
      <c r="M336" s="16" t="n"/>
      <c r="N336" s="16" t="n"/>
      <c r="O336" s="17" t="n"/>
      <c r="P336" s="16" t="n"/>
      <c r="Q336" s="16" t="n"/>
      <c r="R336" s="16" t="n"/>
      <c r="S336" s="16" t="n"/>
      <c r="T336" s="16" t="n"/>
      <c r="U336" s="16" t="n"/>
      <c r="V336" s="16" t="n"/>
      <c r="W336" s="16" t="n"/>
      <c r="X336" s="16" t="n"/>
      <c r="Y336" s="16" t="n"/>
      <c r="Z336" s="16" t="n"/>
      <c r="AA336" s="16" t="n"/>
      <c r="AB336" s="18" t="n"/>
      <c r="AC336" s="15">
        <f>IF(A336="","",IF(AB336=_xlfn.MAXIFS('Register'!$AB$6:$AB$505,'Register'!$A$6:$A$505,A336),"Y","N"))</f>
        <v/>
      </c>
      <c r="AD336" s="15">
        <f>IF(A336="","",COUNTIF('Register'!$A$6:$A$505,A336))</f>
        <v/>
      </c>
      <c r="AE336" s="17" t="n"/>
      <c r="AF336" s="16" t="n"/>
      <c r="AG336" s="17" t="n"/>
      <c r="AH336" s="17" t="n"/>
      <c r="AI336" s="19">
        <f>IF(AE336="","",AE336+IF(AF336="",TA_NOC,AF336))</f>
        <v/>
      </c>
      <c r="AJ336" s="15">
        <f>IF(AE336="","",IF(AG336="",DATADATE,AG336)-AE336)</f>
        <v/>
      </c>
      <c r="AK336" s="15">
        <f>IF(OR(AI336="",AG336&lt;&gt;""),"",IF(DATADATE&gt;AI336,"OVERDUE",""))</f>
        <v/>
      </c>
      <c r="AL336" s="15">
        <f>IF(AH336="","",IF(AH336&lt;DATADATE,"EXPIRED",IF(AH336-DATADATE&lt;=WARN_EXP,"EXPIRING","")))</f>
        <v/>
      </c>
      <c r="AM336" s="16" t="n"/>
      <c r="AN336" s="16" t="n"/>
      <c r="AO336" s="16" t="n"/>
      <c r="AP336" s="16" t="n"/>
    </row>
    <row r="337">
      <c r="A337" s="15">
        <f>IF(AA337="","",PROJ&amp;"-NOC-"&amp;Z337&amp;"-"&amp;TEXT(AA337,"0000"))</f>
        <v/>
      </c>
      <c r="B337" s="15">
        <f>IF(AA337="","",PROJ)</f>
        <v/>
      </c>
      <c r="C337" s="16" t="n"/>
      <c r="D337" s="16" t="n"/>
      <c r="E337" s="16" t="n"/>
      <c r="F337" s="16" t="n"/>
      <c r="G337" s="16" t="n"/>
      <c r="H337" s="16" t="n"/>
      <c r="I337" s="16" t="n"/>
      <c r="J337" s="16" t="n"/>
      <c r="K337" s="16" t="n"/>
      <c r="L337" s="16" t="n"/>
      <c r="M337" s="16" t="n"/>
      <c r="N337" s="16" t="n"/>
      <c r="O337" s="17" t="n"/>
      <c r="P337" s="16" t="n"/>
      <c r="Q337" s="16" t="n"/>
      <c r="R337" s="16" t="n"/>
      <c r="S337" s="16" t="n"/>
      <c r="T337" s="16" t="n"/>
      <c r="U337" s="16" t="n"/>
      <c r="V337" s="16" t="n"/>
      <c r="W337" s="16" t="n"/>
      <c r="X337" s="16" t="n"/>
      <c r="Y337" s="16" t="n"/>
      <c r="Z337" s="16" t="n"/>
      <c r="AA337" s="16" t="n"/>
      <c r="AB337" s="18" t="n"/>
      <c r="AC337" s="15">
        <f>IF(A337="","",IF(AB337=_xlfn.MAXIFS('Register'!$AB$6:$AB$505,'Register'!$A$6:$A$505,A337),"Y","N"))</f>
        <v/>
      </c>
      <c r="AD337" s="15">
        <f>IF(A337="","",COUNTIF('Register'!$A$6:$A$505,A337))</f>
        <v/>
      </c>
      <c r="AE337" s="17" t="n"/>
      <c r="AF337" s="16" t="n"/>
      <c r="AG337" s="17" t="n"/>
      <c r="AH337" s="17" t="n"/>
      <c r="AI337" s="19">
        <f>IF(AE337="","",AE337+IF(AF337="",TA_NOC,AF337))</f>
        <v/>
      </c>
      <c r="AJ337" s="15">
        <f>IF(AE337="","",IF(AG337="",DATADATE,AG337)-AE337)</f>
        <v/>
      </c>
      <c r="AK337" s="15">
        <f>IF(OR(AI337="",AG337&lt;&gt;""),"",IF(DATADATE&gt;AI337,"OVERDUE",""))</f>
        <v/>
      </c>
      <c r="AL337" s="15">
        <f>IF(AH337="","",IF(AH337&lt;DATADATE,"EXPIRED",IF(AH337-DATADATE&lt;=WARN_EXP,"EXPIRING","")))</f>
        <v/>
      </c>
      <c r="AM337" s="16" t="n"/>
      <c r="AN337" s="16" t="n"/>
      <c r="AO337" s="16" t="n"/>
      <c r="AP337" s="16" t="n"/>
    </row>
    <row r="338">
      <c r="A338" s="15">
        <f>IF(AA338="","",PROJ&amp;"-NOC-"&amp;Z338&amp;"-"&amp;TEXT(AA338,"0000"))</f>
        <v/>
      </c>
      <c r="B338" s="15">
        <f>IF(AA338="","",PROJ)</f>
        <v/>
      </c>
      <c r="C338" s="16" t="n"/>
      <c r="D338" s="16" t="n"/>
      <c r="E338" s="16" t="n"/>
      <c r="F338" s="16" t="n"/>
      <c r="G338" s="16" t="n"/>
      <c r="H338" s="16" t="n"/>
      <c r="I338" s="16" t="n"/>
      <c r="J338" s="16" t="n"/>
      <c r="K338" s="16" t="n"/>
      <c r="L338" s="16" t="n"/>
      <c r="M338" s="16" t="n"/>
      <c r="N338" s="16" t="n"/>
      <c r="O338" s="17" t="n"/>
      <c r="P338" s="16" t="n"/>
      <c r="Q338" s="16" t="n"/>
      <c r="R338" s="16" t="n"/>
      <c r="S338" s="16" t="n"/>
      <c r="T338" s="16" t="n"/>
      <c r="U338" s="16" t="n"/>
      <c r="V338" s="16" t="n"/>
      <c r="W338" s="16" t="n"/>
      <c r="X338" s="16" t="n"/>
      <c r="Y338" s="16" t="n"/>
      <c r="Z338" s="16" t="n"/>
      <c r="AA338" s="16" t="n"/>
      <c r="AB338" s="18" t="n"/>
      <c r="AC338" s="15">
        <f>IF(A338="","",IF(AB338=_xlfn.MAXIFS('Register'!$AB$6:$AB$505,'Register'!$A$6:$A$505,A338),"Y","N"))</f>
        <v/>
      </c>
      <c r="AD338" s="15">
        <f>IF(A338="","",COUNTIF('Register'!$A$6:$A$505,A338))</f>
        <v/>
      </c>
      <c r="AE338" s="17" t="n"/>
      <c r="AF338" s="16" t="n"/>
      <c r="AG338" s="17" t="n"/>
      <c r="AH338" s="17" t="n"/>
      <c r="AI338" s="19">
        <f>IF(AE338="","",AE338+IF(AF338="",TA_NOC,AF338))</f>
        <v/>
      </c>
      <c r="AJ338" s="15">
        <f>IF(AE338="","",IF(AG338="",DATADATE,AG338)-AE338)</f>
        <v/>
      </c>
      <c r="AK338" s="15">
        <f>IF(OR(AI338="",AG338&lt;&gt;""),"",IF(DATADATE&gt;AI338,"OVERDUE",""))</f>
        <v/>
      </c>
      <c r="AL338" s="15">
        <f>IF(AH338="","",IF(AH338&lt;DATADATE,"EXPIRED",IF(AH338-DATADATE&lt;=WARN_EXP,"EXPIRING","")))</f>
        <v/>
      </c>
      <c r="AM338" s="16" t="n"/>
      <c r="AN338" s="16" t="n"/>
      <c r="AO338" s="16" t="n"/>
      <c r="AP338" s="16" t="n"/>
    </row>
    <row r="339">
      <c r="A339" s="15">
        <f>IF(AA339="","",PROJ&amp;"-NOC-"&amp;Z339&amp;"-"&amp;TEXT(AA339,"0000"))</f>
        <v/>
      </c>
      <c r="B339" s="15">
        <f>IF(AA339="","",PROJ)</f>
        <v/>
      </c>
      <c r="C339" s="16" t="n"/>
      <c r="D339" s="16" t="n"/>
      <c r="E339" s="16" t="n"/>
      <c r="F339" s="16" t="n"/>
      <c r="G339" s="16" t="n"/>
      <c r="H339" s="16" t="n"/>
      <c r="I339" s="16" t="n"/>
      <c r="J339" s="16" t="n"/>
      <c r="K339" s="16" t="n"/>
      <c r="L339" s="16" t="n"/>
      <c r="M339" s="16" t="n"/>
      <c r="N339" s="16" t="n"/>
      <c r="O339" s="17" t="n"/>
      <c r="P339" s="16" t="n"/>
      <c r="Q339" s="16" t="n"/>
      <c r="R339" s="16" t="n"/>
      <c r="S339" s="16" t="n"/>
      <c r="T339" s="16" t="n"/>
      <c r="U339" s="16" t="n"/>
      <c r="V339" s="16" t="n"/>
      <c r="W339" s="16" t="n"/>
      <c r="X339" s="16" t="n"/>
      <c r="Y339" s="16" t="n"/>
      <c r="Z339" s="16" t="n"/>
      <c r="AA339" s="16" t="n"/>
      <c r="AB339" s="18" t="n"/>
      <c r="AC339" s="15">
        <f>IF(A339="","",IF(AB339=_xlfn.MAXIFS('Register'!$AB$6:$AB$505,'Register'!$A$6:$A$505,A339),"Y","N"))</f>
        <v/>
      </c>
      <c r="AD339" s="15">
        <f>IF(A339="","",COUNTIF('Register'!$A$6:$A$505,A339))</f>
        <v/>
      </c>
      <c r="AE339" s="17" t="n"/>
      <c r="AF339" s="16" t="n"/>
      <c r="AG339" s="17" t="n"/>
      <c r="AH339" s="17" t="n"/>
      <c r="AI339" s="19">
        <f>IF(AE339="","",AE339+IF(AF339="",TA_NOC,AF339))</f>
        <v/>
      </c>
      <c r="AJ339" s="15">
        <f>IF(AE339="","",IF(AG339="",DATADATE,AG339)-AE339)</f>
        <v/>
      </c>
      <c r="AK339" s="15">
        <f>IF(OR(AI339="",AG339&lt;&gt;""),"",IF(DATADATE&gt;AI339,"OVERDUE",""))</f>
        <v/>
      </c>
      <c r="AL339" s="15">
        <f>IF(AH339="","",IF(AH339&lt;DATADATE,"EXPIRED",IF(AH339-DATADATE&lt;=WARN_EXP,"EXPIRING","")))</f>
        <v/>
      </c>
      <c r="AM339" s="16" t="n"/>
      <c r="AN339" s="16" t="n"/>
      <c r="AO339" s="16" t="n"/>
      <c r="AP339" s="16" t="n"/>
    </row>
    <row r="340">
      <c r="A340" s="15">
        <f>IF(AA340="","",PROJ&amp;"-NOC-"&amp;Z340&amp;"-"&amp;TEXT(AA340,"0000"))</f>
        <v/>
      </c>
      <c r="B340" s="15">
        <f>IF(AA340="","",PROJ)</f>
        <v/>
      </c>
      <c r="C340" s="16" t="n"/>
      <c r="D340" s="16" t="n"/>
      <c r="E340" s="16" t="n"/>
      <c r="F340" s="16" t="n"/>
      <c r="G340" s="16" t="n"/>
      <c r="H340" s="16" t="n"/>
      <c r="I340" s="16" t="n"/>
      <c r="J340" s="16" t="n"/>
      <c r="K340" s="16" t="n"/>
      <c r="L340" s="16" t="n"/>
      <c r="M340" s="16" t="n"/>
      <c r="N340" s="16" t="n"/>
      <c r="O340" s="17" t="n"/>
      <c r="P340" s="16" t="n"/>
      <c r="Q340" s="16" t="n"/>
      <c r="R340" s="16" t="n"/>
      <c r="S340" s="16" t="n"/>
      <c r="T340" s="16" t="n"/>
      <c r="U340" s="16" t="n"/>
      <c r="V340" s="16" t="n"/>
      <c r="W340" s="16" t="n"/>
      <c r="X340" s="16" t="n"/>
      <c r="Y340" s="16" t="n"/>
      <c r="Z340" s="16" t="n"/>
      <c r="AA340" s="16" t="n"/>
      <c r="AB340" s="18" t="n"/>
      <c r="AC340" s="15">
        <f>IF(A340="","",IF(AB340=_xlfn.MAXIFS('Register'!$AB$6:$AB$505,'Register'!$A$6:$A$505,A340),"Y","N"))</f>
        <v/>
      </c>
      <c r="AD340" s="15">
        <f>IF(A340="","",COUNTIF('Register'!$A$6:$A$505,A340))</f>
        <v/>
      </c>
      <c r="AE340" s="17" t="n"/>
      <c r="AF340" s="16" t="n"/>
      <c r="AG340" s="17" t="n"/>
      <c r="AH340" s="17" t="n"/>
      <c r="AI340" s="19">
        <f>IF(AE340="","",AE340+IF(AF340="",TA_NOC,AF340))</f>
        <v/>
      </c>
      <c r="AJ340" s="15">
        <f>IF(AE340="","",IF(AG340="",DATADATE,AG340)-AE340)</f>
        <v/>
      </c>
      <c r="AK340" s="15">
        <f>IF(OR(AI340="",AG340&lt;&gt;""),"",IF(DATADATE&gt;AI340,"OVERDUE",""))</f>
        <v/>
      </c>
      <c r="AL340" s="15">
        <f>IF(AH340="","",IF(AH340&lt;DATADATE,"EXPIRED",IF(AH340-DATADATE&lt;=WARN_EXP,"EXPIRING","")))</f>
        <v/>
      </c>
      <c r="AM340" s="16" t="n"/>
      <c r="AN340" s="16" t="n"/>
      <c r="AO340" s="16" t="n"/>
      <c r="AP340" s="16" t="n"/>
    </row>
    <row r="341">
      <c r="A341" s="15">
        <f>IF(AA341="","",PROJ&amp;"-NOC-"&amp;Z341&amp;"-"&amp;TEXT(AA341,"0000"))</f>
        <v/>
      </c>
      <c r="B341" s="15">
        <f>IF(AA341="","",PROJ)</f>
        <v/>
      </c>
      <c r="C341" s="16" t="n"/>
      <c r="D341" s="16" t="n"/>
      <c r="E341" s="16" t="n"/>
      <c r="F341" s="16" t="n"/>
      <c r="G341" s="16" t="n"/>
      <c r="H341" s="16" t="n"/>
      <c r="I341" s="16" t="n"/>
      <c r="J341" s="16" t="n"/>
      <c r="K341" s="16" t="n"/>
      <c r="L341" s="16" t="n"/>
      <c r="M341" s="16" t="n"/>
      <c r="N341" s="16" t="n"/>
      <c r="O341" s="17" t="n"/>
      <c r="P341" s="16" t="n"/>
      <c r="Q341" s="16" t="n"/>
      <c r="R341" s="16" t="n"/>
      <c r="S341" s="16" t="n"/>
      <c r="T341" s="16" t="n"/>
      <c r="U341" s="16" t="n"/>
      <c r="V341" s="16" t="n"/>
      <c r="W341" s="16" t="n"/>
      <c r="X341" s="16" t="n"/>
      <c r="Y341" s="16" t="n"/>
      <c r="Z341" s="16" t="n"/>
      <c r="AA341" s="16" t="n"/>
      <c r="AB341" s="18" t="n"/>
      <c r="AC341" s="15">
        <f>IF(A341="","",IF(AB341=_xlfn.MAXIFS('Register'!$AB$6:$AB$505,'Register'!$A$6:$A$505,A341),"Y","N"))</f>
        <v/>
      </c>
      <c r="AD341" s="15">
        <f>IF(A341="","",COUNTIF('Register'!$A$6:$A$505,A341))</f>
        <v/>
      </c>
      <c r="AE341" s="17" t="n"/>
      <c r="AF341" s="16" t="n"/>
      <c r="AG341" s="17" t="n"/>
      <c r="AH341" s="17" t="n"/>
      <c r="AI341" s="19">
        <f>IF(AE341="","",AE341+IF(AF341="",TA_NOC,AF341))</f>
        <v/>
      </c>
      <c r="AJ341" s="15">
        <f>IF(AE341="","",IF(AG341="",DATADATE,AG341)-AE341)</f>
        <v/>
      </c>
      <c r="AK341" s="15">
        <f>IF(OR(AI341="",AG341&lt;&gt;""),"",IF(DATADATE&gt;AI341,"OVERDUE",""))</f>
        <v/>
      </c>
      <c r="AL341" s="15">
        <f>IF(AH341="","",IF(AH341&lt;DATADATE,"EXPIRED",IF(AH341-DATADATE&lt;=WARN_EXP,"EXPIRING","")))</f>
        <v/>
      </c>
      <c r="AM341" s="16" t="n"/>
      <c r="AN341" s="16" t="n"/>
      <c r="AO341" s="16" t="n"/>
      <c r="AP341" s="16" t="n"/>
    </row>
    <row r="342">
      <c r="A342" s="15">
        <f>IF(AA342="","",PROJ&amp;"-NOC-"&amp;Z342&amp;"-"&amp;TEXT(AA342,"0000"))</f>
        <v/>
      </c>
      <c r="B342" s="15">
        <f>IF(AA342="","",PROJ)</f>
        <v/>
      </c>
      <c r="C342" s="16" t="n"/>
      <c r="D342" s="16" t="n"/>
      <c r="E342" s="16" t="n"/>
      <c r="F342" s="16" t="n"/>
      <c r="G342" s="16" t="n"/>
      <c r="H342" s="16" t="n"/>
      <c r="I342" s="16" t="n"/>
      <c r="J342" s="16" t="n"/>
      <c r="K342" s="16" t="n"/>
      <c r="L342" s="16" t="n"/>
      <c r="M342" s="16" t="n"/>
      <c r="N342" s="16" t="n"/>
      <c r="O342" s="17" t="n"/>
      <c r="P342" s="16" t="n"/>
      <c r="Q342" s="16" t="n"/>
      <c r="R342" s="16" t="n"/>
      <c r="S342" s="16" t="n"/>
      <c r="T342" s="16" t="n"/>
      <c r="U342" s="16" t="n"/>
      <c r="V342" s="16" t="n"/>
      <c r="W342" s="16" t="n"/>
      <c r="X342" s="16" t="n"/>
      <c r="Y342" s="16" t="n"/>
      <c r="Z342" s="16" t="n"/>
      <c r="AA342" s="16" t="n"/>
      <c r="AB342" s="18" t="n"/>
      <c r="AC342" s="15">
        <f>IF(A342="","",IF(AB342=_xlfn.MAXIFS('Register'!$AB$6:$AB$505,'Register'!$A$6:$A$505,A342),"Y","N"))</f>
        <v/>
      </c>
      <c r="AD342" s="15">
        <f>IF(A342="","",COUNTIF('Register'!$A$6:$A$505,A342))</f>
        <v/>
      </c>
      <c r="AE342" s="17" t="n"/>
      <c r="AF342" s="16" t="n"/>
      <c r="AG342" s="17" t="n"/>
      <c r="AH342" s="17" t="n"/>
      <c r="AI342" s="19">
        <f>IF(AE342="","",AE342+IF(AF342="",TA_NOC,AF342))</f>
        <v/>
      </c>
      <c r="AJ342" s="15">
        <f>IF(AE342="","",IF(AG342="",DATADATE,AG342)-AE342)</f>
        <v/>
      </c>
      <c r="AK342" s="15">
        <f>IF(OR(AI342="",AG342&lt;&gt;""),"",IF(DATADATE&gt;AI342,"OVERDUE",""))</f>
        <v/>
      </c>
      <c r="AL342" s="15">
        <f>IF(AH342="","",IF(AH342&lt;DATADATE,"EXPIRED",IF(AH342-DATADATE&lt;=WARN_EXP,"EXPIRING","")))</f>
        <v/>
      </c>
      <c r="AM342" s="16" t="n"/>
      <c r="AN342" s="16" t="n"/>
      <c r="AO342" s="16" t="n"/>
      <c r="AP342" s="16" t="n"/>
    </row>
    <row r="343">
      <c r="A343" s="15">
        <f>IF(AA343="","",PROJ&amp;"-NOC-"&amp;Z343&amp;"-"&amp;TEXT(AA343,"0000"))</f>
        <v/>
      </c>
      <c r="B343" s="15">
        <f>IF(AA343="","",PROJ)</f>
        <v/>
      </c>
      <c r="C343" s="16" t="n"/>
      <c r="D343" s="16" t="n"/>
      <c r="E343" s="16" t="n"/>
      <c r="F343" s="16" t="n"/>
      <c r="G343" s="16" t="n"/>
      <c r="H343" s="16" t="n"/>
      <c r="I343" s="16" t="n"/>
      <c r="J343" s="16" t="n"/>
      <c r="K343" s="16" t="n"/>
      <c r="L343" s="16" t="n"/>
      <c r="M343" s="16" t="n"/>
      <c r="N343" s="16" t="n"/>
      <c r="O343" s="17" t="n"/>
      <c r="P343" s="16" t="n"/>
      <c r="Q343" s="16" t="n"/>
      <c r="R343" s="16" t="n"/>
      <c r="S343" s="16" t="n"/>
      <c r="T343" s="16" t="n"/>
      <c r="U343" s="16" t="n"/>
      <c r="V343" s="16" t="n"/>
      <c r="W343" s="16" t="n"/>
      <c r="X343" s="16" t="n"/>
      <c r="Y343" s="16" t="n"/>
      <c r="Z343" s="16" t="n"/>
      <c r="AA343" s="16" t="n"/>
      <c r="AB343" s="18" t="n"/>
      <c r="AC343" s="15">
        <f>IF(A343="","",IF(AB343=_xlfn.MAXIFS('Register'!$AB$6:$AB$505,'Register'!$A$6:$A$505,A343),"Y","N"))</f>
        <v/>
      </c>
      <c r="AD343" s="15">
        <f>IF(A343="","",COUNTIF('Register'!$A$6:$A$505,A343))</f>
        <v/>
      </c>
      <c r="AE343" s="17" t="n"/>
      <c r="AF343" s="16" t="n"/>
      <c r="AG343" s="17" t="n"/>
      <c r="AH343" s="17" t="n"/>
      <c r="AI343" s="19">
        <f>IF(AE343="","",AE343+IF(AF343="",TA_NOC,AF343))</f>
        <v/>
      </c>
      <c r="AJ343" s="15">
        <f>IF(AE343="","",IF(AG343="",DATADATE,AG343)-AE343)</f>
        <v/>
      </c>
      <c r="AK343" s="15">
        <f>IF(OR(AI343="",AG343&lt;&gt;""),"",IF(DATADATE&gt;AI343,"OVERDUE",""))</f>
        <v/>
      </c>
      <c r="AL343" s="15">
        <f>IF(AH343="","",IF(AH343&lt;DATADATE,"EXPIRED",IF(AH343-DATADATE&lt;=WARN_EXP,"EXPIRING","")))</f>
        <v/>
      </c>
      <c r="AM343" s="16" t="n"/>
      <c r="AN343" s="16" t="n"/>
      <c r="AO343" s="16" t="n"/>
      <c r="AP343" s="16" t="n"/>
    </row>
    <row r="344">
      <c r="A344" s="15">
        <f>IF(AA344="","",PROJ&amp;"-NOC-"&amp;Z344&amp;"-"&amp;TEXT(AA344,"0000"))</f>
        <v/>
      </c>
      <c r="B344" s="15">
        <f>IF(AA344="","",PROJ)</f>
        <v/>
      </c>
      <c r="C344" s="16" t="n"/>
      <c r="D344" s="16" t="n"/>
      <c r="E344" s="16" t="n"/>
      <c r="F344" s="16" t="n"/>
      <c r="G344" s="16" t="n"/>
      <c r="H344" s="16" t="n"/>
      <c r="I344" s="16" t="n"/>
      <c r="J344" s="16" t="n"/>
      <c r="K344" s="16" t="n"/>
      <c r="L344" s="16" t="n"/>
      <c r="M344" s="16" t="n"/>
      <c r="N344" s="16" t="n"/>
      <c r="O344" s="17" t="n"/>
      <c r="P344" s="16" t="n"/>
      <c r="Q344" s="16" t="n"/>
      <c r="R344" s="16" t="n"/>
      <c r="S344" s="16" t="n"/>
      <c r="T344" s="16" t="n"/>
      <c r="U344" s="16" t="n"/>
      <c r="V344" s="16" t="n"/>
      <c r="W344" s="16" t="n"/>
      <c r="X344" s="16" t="n"/>
      <c r="Y344" s="16" t="n"/>
      <c r="Z344" s="16" t="n"/>
      <c r="AA344" s="16" t="n"/>
      <c r="AB344" s="18" t="n"/>
      <c r="AC344" s="15">
        <f>IF(A344="","",IF(AB344=_xlfn.MAXIFS('Register'!$AB$6:$AB$505,'Register'!$A$6:$A$505,A344),"Y","N"))</f>
        <v/>
      </c>
      <c r="AD344" s="15">
        <f>IF(A344="","",COUNTIF('Register'!$A$6:$A$505,A344))</f>
        <v/>
      </c>
      <c r="AE344" s="17" t="n"/>
      <c r="AF344" s="16" t="n"/>
      <c r="AG344" s="17" t="n"/>
      <c r="AH344" s="17" t="n"/>
      <c r="AI344" s="19">
        <f>IF(AE344="","",AE344+IF(AF344="",TA_NOC,AF344))</f>
        <v/>
      </c>
      <c r="AJ344" s="15">
        <f>IF(AE344="","",IF(AG344="",DATADATE,AG344)-AE344)</f>
        <v/>
      </c>
      <c r="AK344" s="15">
        <f>IF(OR(AI344="",AG344&lt;&gt;""),"",IF(DATADATE&gt;AI344,"OVERDUE",""))</f>
        <v/>
      </c>
      <c r="AL344" s="15">
        <f>IF(AH344="","",IF(AH344&lt;DATADATE,"EXPIRED",IF(AH344-DATADATE&lt;=WARN_EXP,"EXPIRING","")))</f>
        <v/>
      </c>
      <c r="AM344" s="16" t="n"/>
      <c r="AN344" s="16" t="n"/>
      <c r="AO344" s="16" t="n"/>
      <c r="AP344" s="16" t="n"/>
    </row>
    <row r="345">
      <c r="A345" s="15">
        <f>IF(AA345="","",PROJ&amp;"-NOC-"&amp;Z345&amp;"-"&amp;TEXT(AA345,"0000"))</f>
        <v/>
      </c>
      <c r="B345" s="15">
        <f>IF(AA345="","",PROJ)</f>
        <v/>
      </c>
      <c r="C345" s="16" t="n"/>
      <c r="D345" s="16" t="n"/>
      <c r="E345" s="16" t="n"/>
      <c r="F345" s="16" t="n"/>
      <c r="G345" s="16" t="n"/>
      <c r="H345" s="16" t="n"/>
      <c r="I345" s="16" t="n"/>
      <c r="J345" s="16" t="n"/>
      <c r="K345" s="16" t="n"/>
      <c r="L345" s="16" t="n"/>
      <c r="M345" s="16" t="n"/>
      <c r="N345" s="16" t="n"/>
      <c r="O345" s="17" t="n"/>
      <c r="P345" s="16" t="n"/>
      <c r="Q345" s="16" t="n"/>
      <c r="R345" s="16" t="n"/>
      <c r="S345" s="16" t="n"/>
      <c r="T345" s="16" t="n"/>
      <c r="U345" s="16" t="n"/>
      <c r="V345" s="16" t="n"/>
      <c r="W345" s="16" t="n"/>
      <c r="X345" s="16" t="n"/>
      <c r="Y345" s="16" t="n"/>
      <c r="Z345" s="16" t="n"/>
      <c r="AA345" s="16" t="n"/>
      <c r="AB345" s="18" t="n"/>
      <c r="AC345" s="15">
        <f>IF(A345="","",IF(AB345=_xlfn.MAXIFS('Register'!$AB$6:$AB$505,'Register'!$A$6:$A$505,A345),"Y","N"))</f>
        <v/>
      </c>
      <c r="AD345" s="15">
        <f>IF(A345="","",COUNTIF('Register'!$A$6:$A$505,A345))</f>
        <v/>
      </c>
      <c r="AE345" s="17" t="n"/>
      <c r="AF345" s="16" t="n"/>
      <c r="AG345" s="17" t="n"/>
      <c r="AH345" s="17" t="n"/>
      <c r="AI345" s="19">
        <f>IF(AE345="","",AE345+IF(AF345="",TA_NOC,AF345))</f>
        <v/>
      </c>
      <c r="AJ345" s="15">
        <f>IF(AE345="","",IF(AG345="",DATADATE,AG345)-AE345)</f>
        <v/>
      </c>
      <c r="AK345" s="15">
        <f>IF(OR(AI345="",AG345&lt;&gt;""),"",IF(DATADATE&gt;AI345,"OVERDUE",""))</f>
        <v/>
      </c>
      <c r="AL345" s="15">
        <f>IF(AH345="","",IF(AH345&lt;DATADATE,"EXPIRED",IF(AH345-DATADATE&lt;=WARN_EXP,"EXPIRING","")))</f>
        <v/>
      </c>
      <c r="AM345" s="16" t="n"/>
      <c r="AN345" s="16" t="n"/>
      <c r="AO345" s="16" t="n"/>
      <c r="AP345" s="16" t="n"/>
    </row>
    <row r="346">
      <c r="A346" s="15">
        <f>IF(AA346="","",PROJ&amp;"-NOC-"&amp;Z346&amp;"-"&amp;TEXT(AA346,"0000"))</f>
        <v/>
      </c>
      <c r="B346" s="15">
        <f>IF(AA346="","",PROJ)</f>
        <v/>
      </c>
      <c r="C346" s="16" t="n"/>
      <c r="D346" s="16" t="n"/>
      <c r="E346" s="16" t="n"/>
      <c r="F346" s="16" t="n"/>
      <c r="G346" s="16" t="n"/>
      <c r="H346" s="16" t="n"/>
      <c r="I346" s="16" t="n"/>
      <c r="J346" s="16" t="n"/>
      <c r="K346" s="16" t="n"/>
      <c r="L346" s="16" t="n"/>
      <c r="M346" s="16" t="n"/>
      <c r="N346" s="16" t="n"/>
      <c r="O346" s="17" t="n"/>
      <c r="P346" s="16" t="n"/>
      <c r="Q346" s="16" t="n"/>
      <c r="R346" s="16" t="n"/>
      <c r="S346" s="16" t="n"/>
      <c r="T346" s="16" t="n"/>
      <c r="U346" s="16" t="n"/>
      <c r="V346" s="16" t="n"/>
      <c r="W346" s="16" t="n"/>
      <c r="X346" s="16" t="n"/>
      <c r="Y346" s="16" t="n"/>
      <c r="Z346" s="16" t="n"/>
      <c r="AA346" s="16" t="n"/>
      <c r="AB346" s="18" t="n"/>
      <c r="AC346" s="15">
        <f>IF(A346="","",IF(AB346=_xlfn.MAXIFS('Register'!$AB$6:$AB$505,'Register'!$A$6:$A$505,A346),"Y","N"))</f>
        <v/>
      </c>
      <c r="AD346" s="15">
        <f>IF(A346="","",COUNTIF('Register'!$A$6:$A$505,A346))</f>
        <v/>
      </c>
      <c r="AE346" s="17" t="n"/>
      <c r="AF346" s="16" t="n"/>
      <c r="AG346" s="17" t="n"/>
      <c r="AH346" s="17" t="n"/>
      <c r="AI346" s="19">
        <f>IF(AE346="","",AE346+IF(AF346="",TA_NOC,AF346))</f>
        <v/>
      </c>
      <c r="AJ346" s="15">
        <f>IF(AE346="","",IF(AG346="",DATADATE,AG346)-AE346)</f>
        <v/>
      </c>
      <c r="AK346" s="15">
        <f>IF(OR(AI346="",AG346&lt;&gt;""),"",IF(DATADATE&gt;AI346,"OVERDUE",""))</f>
        <v/>
      </c>
      <c r="AL346" s="15">
        <f>IF(AH346="","",IF(AH346&lt;DATADATE,"EXPIRED",IF(AH346-DATADATE&lt;=WARN_EXP,"EXPIRING","")))</f>
        <v/>
      </c>
      <c r="AM346" s="16" t="n"/>
      <c r="AN346" s="16" t="n"/>
      <c r="AO346" s="16" t="n"/>
      <c r="AP346" s="16" t="n"/>
    </row>
    <row r="347">
      <c r="A347" s="15">
        <f>IF(AA347="","",PROJ&amp;"-NOC-"&amp;Z347&amp;"-"&amp;TEXT(AA347,"0000"))</f>
        <v/>
      </c>
      <c r="B347" s="15">
        <f>IF(AA347="","",PROJ)</f>
        <v/>
      </c>
      <c r="C347" s="16" t="n"/>
      <c r="D347" s="16" t="n"/>
      <c r="E347" s="16" t="n"/>
      <c r="F347" s="16" t="n"/>
      <c r="G347" s="16" t="n"/>
      <c r="H347" s="16" t="n"/>
      <c r="I347" s="16" t="n"/>
      <c r="J347" s="16" t="n"/>
      <c r="K347" s="16" t="n"/>
      <c r="L347" s="16" t="n"/>
      <c r="M347" s="16" t="n"/>
      <c r="N347" s="16" t="n"/>
      <c r="O347" s="17" t="n"/>
      <c r="P347" s="16" t="n"/>
      <c r="Q347" s="16" t="n"/>
      <c r="R347" s="16" t="n"/>
      <c r="S347" s="16" t="n"/>
      <c r="T347" s="16" t="n"/>
      <c r="U347" s="16" t="n"/>
      <c r="V347" s="16" t="n"/>
      <c r="W347" s="16" t="n"/>
      <c r="X347" s="16" t="n"/>
      <c r="Y347" s="16" t="n"/>
      <c r="Z347" s="16" t="n"/>
      <c r="AA347" s="16" t="n"/>
      <c r="AB347" s="18" t="n"/>
      <c r="AC347" s="15">
        <f>IF(A347="","",IF(AB347=_xlfn.MAXIFS('Register'!$AB$6:$AB$505,'Register'!$A$6:$A$505,A347),"Y","N"))</f>
        <v/>
      </c>
      <c r="AD347" s="15">
        <f>IF(A347="","",COUNTIF('Register'!$A$6:$A$505,A347))</f>
        <v/>
      </c>
      <c r="AE347" s="17" t="n"/>
      <c r="AF347" s="16" t="n"/>
      <c r="AG347" s="17" t="n"/>
      <c r="AH347" s="17" t="n"/>
      <c r="AI347" s="19">
        <f>IF(AE347="","",AE347+IF(AF347="",TA_NOC,AF347))</f>
        <v/>
      </c>
      <c r="AJ347" s="15">
        <f>IF(AE347="","",IF(AG347="",DATADATE,AG347)-AE347)</f>
        <v/>
      </c>
      <c r="AK347" s="15">
        <f>IF(OR(AI347="",AG347&lt;&gt;""),"",IF(DATADATE&gt;AI347,"OVERDUE",""))</f>
        <v/>
      </c>
      <c r="AL347" s="15">
        <f>IF(AH347="","",IF(AH347&lt;DATADATE,"EXPIRED",IF(AH347-DATADATE&lt;=WARN_EXP,"EXPIRING","")))</f>
        <v/>
      </c>
      <c r="AM347" s="16" t="n"/>
      <c r="AN347" s="16" t="n"/>
      <c r="AO347" s="16" t="n"/>
      <c r="AP347" s="16" t="n"/>
    </row>
    <row r="348">
      <c r="A348" s="15">
        <f>IF(AA348="","",PROJ&amp;"-NOC-"&amp;Z348&amp;"-"&amp;TEXT(AA348,"0000"))</f>
        <v/>
      </c>
      <c r="B348" s="15">
        <f>IF(AA348="","",PROJ)</f>
        <v/>
      </c>
      <c r="C348" s="16" t="n"/>
      <c r="D348" s="16" t="n"/>
      <c r="E348" s="16" t="n"/>
      <c r="F348" s="16" t="n"/>
      <c r="G348" s="16" t="n"/>
      <c r="H348" s="16" t="n"/>
      <c r="I348" s="16" t="n"/>
      <c r="J348" s="16" t="n"/>
      <c r="K348" s="16" t="n"/>
      <c r="L348" s="16" t="n"/>
      <c r="M348" s="16" t="n"/>
      <c r="N348" s="16" t="n"/>
      <c r="O348" s="17" t="n"/>
      <c r="P348" s="16" t="n"/>
      <c r="Q348" s="16" t="n"/>
      <c r="R348" s="16" t="n"/>
      <c r="S348" s="16" t="n"/>
      <c r="T348" s="16" t="n"/>
      <c r="U348" s="16" t="n"/>
      <c r="V348" s="16" t="n"/>
      <c r="W348" s="16" t="n"/>
      <c r="X348" s="16" t="n"/>
      <c r="Y348" s="16" t="n"/>
      <c r="Z348" s="16" t="n"/>
      <c r="AA348" s="16" t="n"/>
      <c r="AB348" s="18" t="n"/>
      <c r="AC348" s="15">
        <f>IF(A348="","",IF(AB348=_xlfn.MAXIFS('Register'!$AB$6:$AB$505,'Register'!$A$6:$A$505,A348),"Y","N"))</f>
        <v/>
      </c>
      <c r="AD348" s="15">
        <f>IF(A348="","",COUNTIF('Register'!$A$6:$A$505,A348))</f>
        <v/>
      </c>
      <c r="AE348" s="17" t="n"/>
      <c r="AF348" s="16" t="n"/>
      <c r="AG348" s="17" t="n"/>
      <c r="AH348" s="17" t="n"/>
      <c r="AI348" s="19">
        <f>IF(AE348="","",AE348+IF(AF348="",TA_NOC,AF348))</f>
        <v/>
      </c>
      <c r="AJ348" s="15">
        <f>IF(AE348="","",IF(AG348="",DATADATE,AG348)-AE348)</f>
        <v/>
      </c>
      <c r="AK348" s="15">
        <f>IF(OR(AI348="",AG348&lt;&gt;""),"",IF(DATADATE&gt;AI348,"OVERDUE",""))</f>
        <v/>
      </c>
      <c r="AL348" s="15">
        <f>IF(AH348="","",IF(AH348&lt;DATADATE,"EXPIRED",IF(AH348-DATADATE&lt;=WARN_EXP,"EXPIRING","")))</f>
        <v/>
      </c>
      <c r="AM348" s="16" t="n"/>
      <c r="AN348" s="16" t="n"/>
      <c r="AO348" s="16" t="n"/>
      <c r="AP348" s="16" t="n"/>
    </row>
    <row r="349">
      <c r="A349" s="15">
        <f>IF(AA349="","",PROJ&amp;"-NOC-"&amp;Z349&amp;"-"&amp;TEXT(AA349,"0000"))</f>
        <v/>
      </c>
      <c r="B349" s="15">
        <f>IF(AA349="","",PROJ)</f>
        <v/>
      </c>
      <c r="C349" s="16" t="n"/>
      <c r="D349" s="16" t="n"/>
      <c r="E349" s="16" t="n"/>
      <c r="F349" s="16" t="n"/>
      <c r="G349" s="16" t="n"/>
      <c r="H349" s="16" t="n"/>
      <c r="I349" s="16" t="n"/>
      <c r="J349" s="16" t="n"/>
      <c r="K349" s="16" t="n"/>
      <c r="L349" s="16" t="n"/>
      <c r="M349" s="16" t="n"/>
      <c r="N349" s="16" t="n"/>
      <c r="O349" s="17" t="n"/>
      <c r="P349" s="16" t="n"/>
      <c r="Q349" s="16" t="n"/>
      <c r="R349" s="16" t="n"/>
      <c r="S349" s="16" t="n"/>
      <c r="T349" s="16" t="n"/>
      <c r="U349" s="16" t="n"/>
      <c r="V349" s="16" t="n"/>
      <c r="W349" s="16" t="n"/>
      <c r="X349" s="16" t="n"/>
      <c r="Y349" s="16" t="n"/>
      <c r="Z349" s="16" t="n"/>
      <c r="AA349" s="16" t="n"/>
      <c r="AB349" s="18" t="n"/>
      <c r="AC349" s="15">
        <f>IF(A349="","",IF(AB349=_xlfn.MAXIFS('Register'!$AB$6:$AB$505,'Register'!$A$6:$A$505,A349),"Y","N"))</f>
        <v/>
      </c>
      <c r="AD349" s="15">
        <f>IF(A349="","",COUNTIF('Register'!$A$6:$A$505,A349))</f>
        <v/>
      </c>
      <c r="AE349" s="17" t="n"/>
      <c r="AF349" s="16" t="n"/>
      <c r="AG349" s="17" t="n"/>
      <c r="AH349" s="17" t="n"/>
      <c r="AI349" s="19">
        <f>IF(AE349="","",AE349+IF(AF349="",TA_NOC,AF349))</f>
        <v/>
      </c>
      <c r="AJ349" s="15">
        <f>IF(AE349="","",IF(AG349="",DATADATE,AG349)-AE349)</f>
        <v/>
      </c>
      <c r="AK349" s="15">
        <f>IF(OR(AI349="",AG349&lt;&gt;""),"",IF(DATADATE&gt;AI349,"OVERDUE",""))</f>
        <v/>
      </c>
      <c r="AL349" s="15">
        <f>IF(AH349="","",IF(AH349&lt;DATADATE,"EXPIRED",IF(AH349-DATADATE&lt;=WARN_EXP,"EXPIRING","")))</f>
        <v/>
      </c>
      <c r="AM349" s="16" t="n"/>
      <c r="AN349" s="16" t="n"/>
      <c r="AO349" s="16" t="n"/>
      <c r="AP349" s="16" t="n"/>
    </row>
    <row r="350">
      <c r="A350" s="15">
        <f>IF(AA350="","",PROJ&amp;"-NOC-"&amp;Z350&amp;"-"&amp;TEXT(AA350,"0000"))</f>
        <v/>
      </c>
      <c r="B350" s="15">
        <f>IF(AA350="","",PROJ)</f>
        <v/>
      </c>
      <c r="C350" s="16" t="n"/>
      <c r="D350" s="16" t="n"/>
      <c r="E350" s="16" t="n"/>
      <c r="F350" s="16" t="n"/>
      <c r="G350" s="16" t="n"/>
      <c r="H350" s="16" t="n"/>
      <c r="I350" s="16" t="n"/>
      <c r="J350" s="16" t="n"/>
      <c r="K350" s="16" t="n"/>
      <c r="L350" s="16" t="n"/>
      <c r="M350" s="16" t="n"/>
      <c r="N350" s="16" t="n"/>
      <c r="O350" s="17" t="n"/>
      <c r="P350" s="16" t="n"/>
      <c r="Q350" s="16" t="n"/>
      <c r="R350" s="16" t="n"/>
      <c r="S350" s="16" t="n"/>
      <c r="T350" s="16" t="n"/>
      <c r="U350" s="16" t="n"/>
      <c r="V350" s="16" t="n"/>
      <c r="W350" s="16" t="n"/>
      <c r="X350" s="16" t="n"/>
      <c r="Y350" s="16" t="n"/>
      <c r="Z350" s="16" t="n"/>
      <c r="AA350" s="16" t="n"/>
      <c r="AB350" s="18" t="n"/>
      <c r="AC350" s="15">
        <f>IF(A350="","",IF(AB350=_xlfn.MAXIFS('Register'!$AB$6:$AB$505,'Register'!$A$6:$A$505,A350),"Y","N"))</f>
        <v/>
      </c>
      <c r="AD350" s="15">
        <f>IF(A350="","",COUNTIF('Register'!$A$6:$A$505,A350))</f>
        <v/>
      </c>
      <c r="AE350" s="17" t="n"/>
      <c r="AF350" s="16" t="n"/>
      <c r="AG350" s="17" t="n"/>
      <c r="AH350" s="17" t="n"/>
      <c r="AI350" s="19">
        <f>IF(AE350="","",AE350+IF(AF350="",TA_NOC,AF350))</f>
        <v/>
      </c>
      <c r="AJ350" s="15">
        <f>IF(AE350="","",IF(AG350="",DATADATE,AG350)-AE350)</f>
        <v/>
      </c>
      <c r="AK350" s="15">
        <f>IF(OR(AI350="",AG350&lt;&gt;""),"",IF(DATADATE&gt;AI350,"OVERDUE",""))</f>
        <v/>
      </c>
      <c r="AL350" s="15">
        <f>IF(AH350="","",IF(AH350&lt;DATADATE,"EXPIRED",IF(AH350-DATADATE&lt;=WARN_EXP,"EXPIRING","")))</f>
        <v/>
      </c>
      <c r="AM350" s="16" t="n"/>
      <c r="AN350" s="16" t="n"/>
      <c r="AO350" s="16" t="n"/>
      <c r="AP350" s="16" t="n"/>
    </row>
    <row r="351">
      <c r="A351" s="15">
        <f>IF(AA351="","",PROJ&amp;"-NOC-"&amp;Z351&amp;"-"&amp;TEXT(AA351,"0000"))</f>
        <v/>
      </c>
      <c r="B351" s="15">
        <f>IF(AA351="","",PROJ)</f>
        <v/>
      </c>
      <c r="C351" s="16" t="n"/>
      <c r="D351" s="16" t="n"/>
      <c r="E351" s="16" t="n"/>
      <c r="F351" s="16" t="n"/>
      <c r="G351" s="16" t="n"/>
      <c r="H351" s="16" t="n"/>
      <c r="I351" s="16" t="n"/>
      <c r="J351" s="16" t="n"/>
      <c r="K351" s="16" t="n"/>
      <c r="L351" s="16" t="n"/>
      <c r="M351" s="16" t="n"/>
      <c r="N351" s="16" t="n"/>
      <c r="O351" s="17" t="n"/>
      <c r="P351" s="16" t="n"/>
      <c r="Q351" s="16" t="n"/>
      <c r="R351" s="16" t="n"/>
      <c r="S351" s="16" t="n"/>
      <c r="T351" s="16" t="n"/>
      <c r="U351" s="16" t="n"/>
      <c r="V351" s="16" t="n"/>
      <c r="W351" s="16" t="n"/>
      <c r="X351" s="16" t="n"/>
      <c r="Y351" s="16" t="n"/>
      <c r="Z351" s="16" t="n"/>
      <c r="AA351" s="16" t="n"/>
      <c r="AB351" s="18" t="n"/>
      <c r="AC351" s="15">
        <f>IF(A351="","",IF(AB351=_xlfn.MAXIFS('Register'!$AB$6:$AB$505,'Register'!$A$6:$A$505,A351),"Y","N"))</f>
        <v/>
      </c>
      <c r="AD351" s="15">
        <f>IF(A351="","",COUNTIF('Register'!$A$6:$A$505,A351))</f>
        <v/>
      </c>
      <c r="AE351" s="17" t="n"/>
      <c r="AF351" s="16" t="n"/>
      <c r="AG351" s="17" t="n"/>
      <c r="AH351" s="17" t="n"/>
      <c r="AI351" s="19">
        <f>IF(AE351="","",AE351+IF(AF351="",TA_NOC,AF351))</f>
        <v/>
      </c>
      <c r="AJ351" s="15">
        <f>IF(AE351="","",IF(AG351="",DATADATE,AG351)-AE351)</f>
        <v/>
      </c>
      <c r="AK351" s="15">
        <f>IF(OR(AI351="",AG351&lt;&gt;""),"",IF(DATADATE&gt;AI351,"OVERDUE",""))</f>
        <v/>
      </c>
      <c r="AL351" s="15">
        <f>IF(AH351="","",IF(AH351&lt;DATADATE,"EXPIRED",IF(AH351-DATADATE&lt;=WARN_EXP,"EXPIRING","")))</f>
        <v/>
      </c>
      <c r="AM351" s="16" t="n"/>
      <c r="AN351" s="16" t="n"/>
      <c r="AO351" s="16" t="n"/>
      <c r="AP351" s="16" t="n"/>
    </row>
    <row r="352">
      <c r="A352" s="15">
        <f>IF(AA352="","",PROJ&amp;"-NOC-"&amp;Z352&amp;"-"&amp;TEXT(AA352,"0000"))</f>
        <v/>
      </c>
      <c r="B352" s="15">
        <f>IF(AA352="","",PROJ)</f>
        <v/>
      </c>
      <c r="C352" s="16" t="n"/>
      <c r="D352" s="16" t="n"/>
      <c r="E352" s="16" t="n"/>
      <c r="F352" s="16" t="n"/>
      <c r="G352" s="16" t="n"/>
      <c r="H352" s="16" t="n"/>
      <c r="I352" s="16" t="n"/>
      <c r="J352" s="16" t="n"/>
      <c r="K352" s="16" t="n"/>
      <c r="L352" s="16" t="n"/>
      <c r="M352" s="16" t="n"/>
      <c r="N352" s="16" t="n"/>
      <c r="O352" s="17" t="n"/>
      <c r="P352" s="16" t="n"/>
      <c r="Q352" s="16" t="n"/>
      <c r="R352" s="16" t="n"/>
      <c r="S352" s="16" t="n"/>
      <c r="T352" s="16" t="n"/>
      <c r="U352" s="16" t="n"/>
      <c r="V352" s="16" t="n"/>
      <c r="W352" s="16" t="n"/>
      <c r="X352" s="16" t="n"/>
      <c r="Y352" s="16" t="n"/>
      <c r="Z352" s="16" t="n"/>
      <c r="AA352" s="16" t="n"/>
      <c r="AB352" s="18" t="n"/>
      <c r="AC352" s="15">
        <f>IF(A352="","",IF(AB352=_xlfn.MAXIFS('Register'!$AB$6:$AB$505,'Register'!$A$6:$A$505,A352),"Y","N"))</f>
        <v/>
      </c>
      <c r="AD352" s="15">
        <f>IF(A352="","",COUNTIF('Register'!$A$6:$A$505,A352))</f>
        <v/>
      </c>
      <c r="AE352" s="17" t="n"/>
      <c r="AF352" s="16" t="n"/>
      <c r="AG352" s="17" t="n"/>
      <c r="AH352" s="17" t="n"/>
      <c r="AI352" s="19">
        <f>IF(AE352="","",AE352+IF(AF352="",TA_NOC,AF352))</f>
        <v/>
      </c>
      <c r="AJ352" s="15">
        <f>IF(AE352="","",IF(AG352="",DATADATE,AG352)-AE352)</f>
        <v/>
      </c>
      <c r="AK352" s="15">
        <f>IF(OR(AI352="",AG352&lt;&gt;""),"",IF(DATADATE&gt;AI352,"OVERDUE",""))</f>
        <v/>
      </c>
      <c r="AL352" s="15">
        <f>IF(AH352="","",IF(AH352&lt;DATADATE,"EXPIRED",IF(AH352-DATADATE&lt;=WARN_EXP,"EXPIRING","")))</f>
        <v/>
      </c>
      <c r="AM352" s="16" t="n"/>
      <c r="AN352" s="16" t="n"/>
      <c r="AO352" s="16" t="n"/>
      <c r="AP352" s="16" t="n"/>
    </row>
    <row r="353">
      <c r="A353" s="15">
        <f>IF(AA353="","",PROJ&amp;"-NOC-"&amp;Z353&amp;"-"&amp;TEXT(AA353,"0000"))</f>
        <v/>
      </c>
      <c r="B353" s="15">
        <f>IF(AA353="","",PROJ)</f>
        <v/>
      </c>
      <c r="C353" s="16" t="n"/>
      <c r="D353" s="16" t="n"/>
      <c r="E353" s="16" t="n"/>
      <c r="F353" s="16" t="n"/>
      <c r="G353" s="16" t="n"/>
      <c r="H353" s="16" t="n"/>
      <c r="I353" s="16" t="n"/>
      <c r="J353" s="16" t="n"/>
      <c r="K353" s="16" t="n"/>
      <c r="L353" s="16" t="n"/>
      <c r="M353" s="16" t="n"/>
      <c r="N353" s="16" t="n"/>
      <c r="O353" s="17" t="n"/>
      <c r="P353" s="16" t="n"/>
      <c r="Q353" s="16" t="n"/>
      <c r="R353" s="16" t="n"/>
      <c r="S353" s="16" t="n"/>
      <c r="T353" s="16" t="n"/>
      <c r="U353" s="16" t="n"/>
      <c r="V353" s="16" t="n"/>
      <c r="W353" s="16" t="n"/>
      <c r="X353" s="16" t="n"/>
      <c r="Y353" s="16" t="n"/>
      <c r="Z353" s="16" t="n"/>
      <c r="AA353" s="16" t="n"/>
      <c r="AB353" s="18" t="n"/>
      <c r="AC353" s="15">
        <f>IF(A353="","",IF(AB353=_xlfn.MAXIFS('Register'!$AB$6:$AB$505,'Register'!$A$6:$A$505,A353),"Y","N"))</f>
        <v/>
      </c>
      <c r="AD353" s="15">
        <f>IF(A353="","",COUNTIF('Register'!$A$6:$A$505,A353))</f>
        <v/>
      </c>
      <c r="AE353" s="17" t="n"/>
      <c r="AF353" s="16" t="n"/>
      <c r="AG353" s="17" t="n"/>
      <c r="AH353" s="17" t="n"/>
      <c r="AI353" s="19">
        <f>IF(AE353="","",AE353+IF(AF353="",TA_NOC,AF353))</f>
        <v/>
      </c>
      <c r="AJ353" s="15">
        <f>IF(AE353="","",IF(AG353="",DATADATE,AG353)-AE353)</f>
        <v/>
      </c>
      <c r="AK353" s="15">
        <f>IF(OR(AI353="",AG353&lt;&gt;""),"",IF(DATADATE&gt;AI353,"OVERDUE",""))</f>
        <v/>
      </c>
      <c r="AL353" s="15">
        <f>IF(AH353="","",IF(AH353&lt;DATADATE,"EXPIRED",IF(AH353-DATADATE&lt;=WARN_EXP,"EXPIRING","")))</f>
        <v/>
      </c>
      <c r="AM353" s="16" t="n"/>
      <c r="AN353" s="16" t="n"/>
      <c r="AO353" s="16" t="n"/>
      <c r="AP353" s="16" t="n"/>
    </row>
    <row r="354">
      <c r="A354" s="15">
        <f>IF(AA354="","",PROJ&amp;"-NOC-"&amp;Z354&amp;"-"&amp;TEXT(AA354,"0000"))</f>
        <v/>
      </c>
      <c r="B354" s="15">
        <f>IF(AA354="","",PROJ)</f>
        <v/>
      </c>
      <c r="C354" s="16" t="n"/>
      <c r="D354" s="16" t="n"/>
      <c r="E354" s="16" t="n"/>
      <c r="F354" s="16" t="n"/>
      <c r="G354" s="16" t="n"/>
      <c r="H354" s="16" t="n"/>
      <c r="I354" s="16" t="n"/>
      <c r="J354" s="16" t="n"/>
      <c r="K354" s="16" t="n"/>
      <c r="L354" s="16" t="n"/>
      <c r="M354" s="16" t="n"/>
      <c r="N354" s="16" t="n"/>
      <c r="O354" s="17" t="n"/>
      <c r="P354" s="16" t="n"/>
      <c r="Q354" s="16" t="n"/>
      <c r="R354" s="16" t="n"/>
      <c r="S354" s="16" t="n"/>
      <c r="T354" s="16" t="n"/>
      <c r="U354" s="16" t="n"/>
      <c r="V354" s="16" t="n"/>
      <c r="W354" s="16" t="n"/>
      <c r="X354" s="16" t="n"/>
      <c r="Y354" s="16" t="n"/>
      <c r="Z354" s="16" t="n"/>
      <c r="AA354" s="16" t="n"/>
      <c r="AB354" s="18" t="n"/>
      <c r="AC354" s="15">
        <f>IF(A354="","",IF(AB354=_xlfn.MAXIFS('Register'!$AB$6:$AB$505,'Register'!$A$6:$A$505,A354),"Y","N"))</f>
        <v/>
      </c>
      <c r="AD354" s="15">
        <f>IF(A354="","",COUNTIF('Register'!$A$6:$A$505,A354))</f>
        <v/>
      </c>
      <c r="AE354" s="17" t="n"/>
      <c r="AF354" s="16" t="n"/>
      <c r="AG354" s="17" t="n"/>
      <c r="AH354" s="17" t="n"/>
      <c r="AI354" s="19">
        <f>IF(AE354="","",AE354+IF(AF354="",TA_NOC,AF354))</f>
        <v/>
      </c>
      <c r="AJ354" s="15">
        <f>IF(AE354="","",IF(AG354="",DATADATE,AG354)-AE354)</f>
        <v/>
      </c>
      <c r="AK354" s="15">
        <f>IF(OR(AI354="",AG354&lt;&gt;""),"",IF(DATADATE&gt;AI354,"OVERDUE",""))</f>
        <v/>
      </c>
      <c r="AL354" s="15">
        <f>IF(AH354="","",IF(AH354&lt;DATADATE,"EXPIRED",IF(AH354-DATADATE&lt;=WARN_EXP,"EXPIRING","")))</f>
        <v/>
      </c>
      <c r="AM354" s="16" t="n"/>
      <c r="AN354" s="16" t="n"/>
      <c r="AO354" s="16" t="n"/>
      <c r="AP354" s="16" t="n"/>
    </row>
    <row r="355">
      <c r="A355" s="15">
        <f>IF(AA355="","",PROJ&amp;"-NOC-"&amp;Z355&amp;"-"&amp;TEXT(AA355,"0000"))</f>
        <v/>
      </c>
      <c r="B355" s="15">
        <f>IF(AA355="","",PROJ)</f>
        <v/>
      </c>
      <c r="C355" s="16" t="n"/>
      <c r="D355" s="16" t="n"/>
      <c r="E355" s="16" t="n"/>
      <c r="F355" s="16" t="n"/>
      <c r="G355" s="16" t="n"/>
      <c r="H355" s="16" t="n"/>
      <c r="I355" s="16" t="n"/>
      <c r="J355" s="16" t="n"/>
      <c r="K355" s="16" t="n"/>
      <c r="L355" s="16" t="n"/>
      <c r="M355" s="16" t="n"/>
      <c r="N355" s="16" t="n"/>
      <c r="O355" s="17" t="n"/>
      <c r="P355" s="16" t="n"/>
      <c r="Q355" s="16" t="n"/>
      <c r="R355" s="16" t="n"/>
      <c r="S355" s="16" t="n"/>
      <c r="T355" s="16" t="n"/>
      <c r="U355" s="16" t="n"/>
      <c r="V355" s="16" t="n"/>
      <c r="W355" s="16" t="n"/>
      <c r="X355" s="16" t="n"/>
      <c r="Y355" s="16" t="n"/>
      <c r="Z355" s="16" t="n"/>
      <c r="AA355" s="16" t="n"/>
      <c r="AB355" s="18" t="n"/>
      <c r="AC355" s="15">
        <f>IF(A355="","",IF(AB355=_xlfn.MAXIFS('Register'!$AB$6:$AB$505,'Register'!$A$6:$A$505,A355),"Y","N"))</f>
        <v/>
      </c>
      <c r="AD355" s="15">
        <f>IF(A355="","",COUNTIF('Register'!$A$6:$A$505,A355))</f>
        <v/>
      </c>
      <c r="AE355" s="17" t="n"/>
      <c r="AF355" s="16" t="n"/>
      <c r="AG355" s="17" t="n"/>
      <c r="AH355" s="17" t="n"/>
      <c r="AI355" s="19">
        <f>IF(AE355="","",AE355+IF(AF355="",TA_NOC,AF355))</f>
        <v/>
      </c>
      <c r="AJ355" s="15">
        <f>IF(AE355="","",IF(AG355="",DATADATE,AG355)-AE355)</f>
        <v/>
      </c>
      <c r="AK355" s="15">
        <f>IF(OR(AI355="",AG355&lt;&gt;""),"",IF(DATADATE&gt;AI355,"OVERDUE",""))</f>
        <v/>
      </c>
      <c r="AL355" s="15">
        <f>IF(AH355="","",IF(AH355&lt;DATADATE,"EXPIRED",IF(AH355-DATADATE&lt;=WARN_EXP,"EXPIRING","")))</f>
        <v/>
      </c>
      <c r="AM355" s="16" t="n"/>
      <c r="AN355" s="16" t="n"/>
      <c r="AO355" s="16" t="n"/>
      <c r="AP355" s="16" t="n"/>
    </row>
    <row r="356">
      <c r="A356" s="15">
        <f>IF(AA356="","",PROJ&amp;"-NOC-"&amp;Z356&amp;"-"&amp;TEXT(AA356,"0000"))</f>
        <v/>
      </c>
      <c r="B356" s="15">
        <f>IF(AA356="","",PROJ)</f>
        <v/>
      </c>
      <c r="C356" s="16" t="n"/>
      <c r="D356" s="16" t="n"/>
      <c r="E356" s="16" t="n"/>
      <c r="F356" s="16" t="n"/>
      <c r="G356" s="16" t="n"/>
      <c r="H356" s="16" t="n"/>
      <c r="I356" s="16" t="n"/>
      <c r="J356" s="16" t="n"/>
      <c r="K356" s="16" t="n"/>
      <c r="L356" s="16" t="n"/>
      <c r="M356" s="16" t="n"/>
      <c r="N356" s="16" t="n"/>
      <c r="O356" s="17" t="n"/>
      <c r="P356" s="16" t="n"/>
      <c r="Q356" s="16" t="n"/>
      <c r="R356" s="16" t="n"/>
      <c r="S356" s="16" t="n"/>
      <c r="T356" s="16" t="n"/>
      <c r="U356" s="16" t="n"/>
      <c r="V356" s="16" t="n"/>
      <c r="W356" s="16" t="n"/>
      <c r="X356" s="16" t="n"/>
      <c r="Y356" s="16" t="n"/>
      <c r="Z356" s="16" t="n"/>
      <c r="AA356" s="16" t="n"/>
      <c r="AB356" s="18" t="n"/>
      <c r="AC356" s="15">
        <f>IF(A356="","",IF(AB356=_xlfn.MAXIFS('Register'!$AB$6:$AB$505,'Register'!$A$6:$A$505,A356),"Y","N"))</f>
        <v/>
      </c>
      <c r="AD356" s="15">
        <f>IF(A356="","",COUNTIF('Register'!$A$6:$A$505,A356))</f>
        <v/>
      </c>
      <c r="AE356" s="17" t="n"/>
      <c r="AF356" s="16" t="n"/>
      <c r="AG356" s="17" t="n"/>
      <c r="AH356" s="17" t="n"/>
      <c r="AI356" s="19">
        <f>IF(AE356="","",AE356+IF(AF356="",TA_NOC,AF356))</f>
        <v/>
      </c>
      <c r="AJ356" s="15">
        <f>IF(AE356="","",IF(AG356="",DATADATE,AG356)-AE356)</f>
        <v/>
      </c>
      <c r="AK356" s="15">
        <f>IF(OR(AI356="",AG356&lt;&gt;""),"",IF(DATADATE&gt;AI356,"OVERDUE",""))</f>
        <v/>
      </c>
      <c r="AL356" s="15">
        <f>IF(AH356="","",IF(AH356&lt;DATADATE,"EXPIRED",IF(AH356-DATADATE&lt;=WARN_EXP,"EXPIRING","")))</f>
        <v/>
      </c>
      <c r="AM356" s="16" t="n"/>
      <c r="AN356" s="16" t="n"/>
      <c r="AO356" s="16" t="n"/>
      <c r="AP356" s="16" t="n"/>
    </row>
    <row r="357">
      <c r="A357" s="15">
        <f>IF(AA357="","",PROJ&amp;"-NOC-"&amp;Z357&amp;"-"&amp;TEXT(AA357,"0000"))</f>
        <v/>
      </c>
      <c r="B357" s="15">
        <f>IF(AA357="","",PROJ)</f>
        <v/>
      </c>
      <c r="C357" s="16" t="n"/>
      <c r="D357" s="16" t="n"/>
      <c r="E357" s="16" t="n"/>
      <c r="F357" s="16" t="n"/>
      <c r="G357" s="16" t="n"/>
      <c r="H357" s="16" t="n"/>
      <c r="I357" s="16" t="n"/>
      <c r="J357" s="16" t="n"/>
      <c r="K357" s="16" t="n"/>
      <c r="L357" s="16" t="n"/>
      <c r="M357" s="16" t="n"/>
      <c r="N357" s="16" t="n"/>
      <c r="O357" s="17" t="n"/>
      <c r="P357" s="16" t="n"/>
      <c r="Q357" s="16" t="n"/>
      <c r="R357" s="16" t="n"/>
      <c r="S357" s="16" t="n"/>
      <c r="T357" s="16" t="n"/>
      <c r="U357" s="16" t="n"/>
      <c r="V357" s="16" t="n"/>
      <c r="W357" s="16" t="n"/>
      <c r="X357" s="16" t="n"/>
      <c r="Y357" s="16" t="n"/>
      <c r="Z357" s="16" t="n"/>
      <c r="AA357" s="16" t="n"/>
      <c r="AB357" s="18" t="n"/>
      <c r="AC357" s="15">
        <f>IF(A357="","",IF(AB357=_xlfn.MAXIFS('Register'!$AB$6:$AB$505,'Register'!$A$6:$A$505,A357),"Y","N"))</f>
        <v/>
      </c>
      <c r="AD357" s="15">
        <f>IF(A357="","",COUNTIF('Register'!$A$6:$A$505,A357))</f>
        <v/>
      </c>
      <c r="AE357" s="17" t="n"/>
      <c r="AF357" s="16" t="n"/>
      <c r="AG357" s="17" t="n"/>
      <c r="AH357" s="17" t="n"/>
      <c r="AI357" s="19">
        <f>IF(AE357="","",AE357+IF(AF357="",TA_NOC,AF357))</f>
        <v/>
      </c>
      <c r="AJ357" s="15">
        <f>IF(AE357="","",IF(AG357="",DATADATE,AG357)-AE357)</f>
        <v/>
      </c>
      <c r="AK357" s="15">
        <f>IF(OR(AI357="",AG357&lt;&gt;""),"",IF(DATADATE&gt;AI357,"OVERDUE",""))</f>
        <v/>
      </c>
      <c r="AL357" s="15">
        <f>IF(AH357="","",IF(AH357&lt;DATADATE,"EXPIRED",IF(AH357-DATADATE&lt;=WARN_EXP,"EXPIRING","")))</f>
        <v/>
      </c>
      <c r="AM357" s="16" t="n"/>
      <c r="AN357" s="16" t="n"/>
      <c r="AO357" s="16" t="n"/>
      <c r="AP357" s="16" t="n"/>
    </row>
    <row r="358">
      <c r="A358" s="15">
        <f>IF(AA358="","",PROJ&amp;"-NOC-"&amp;Z358&amp;"-"&amp;TEXT(AA358,"0000"))</f>
        <v/>
      </c>
      <c r="B358" s="15">
        <f>IF(AA358="","",PROJ)</f>
        <v/>
      </c>
      <c r="C358" s="16" t="n"/>
      <c r="D358" s="16" t="n"/>
      <c r="E358" s="16" t="n"/>
      <c r="F358" s="16" t="n"/>
      <c r="G358" s="16" t="n"/>
      <c r="H358" s="16" t="n"/>
      <c r="I358" s="16" t="n"/>
      <c r="J358" s="16" t="n"/>
      <c r="K358" s="16" t="n"/>
      <c r="L358" s="16" t="n"/>
      <c r="M358" s="16" t="n"/>
      <c r="N358" s="16" t="n"/>
      <c r="O358" s="17" t="n"/>
      <c r="P358" s="16" t="n"/>
      <c r="Q358" s="16" t="n"/>
      <c r="R358" s="16" t="n"/>
      <c r="S358" s="16" t="n"/>
      <c r="T358" s="16" t="n"/>
      <c r="U358" s="16" t="n"/>
      <c r="V358" s="16" t="n"/>
      <c r="W358" s="16" t="n"/>
      <c r="X358" s="16" t="n"/>
      <c r="Y358" s="16" t="n"/>
      <c r="Z358" s="16" t="n"/>
      <c r="AA358" s="16" t="n"/>
      <c r="AB358" s="18" t="n"/>
      <c r="AC358" s="15">
        <f>IF(A358="","",IF(AB358=_xlfn.MAXIFS('Register'!$AB$6:$AB$505,'Register'!$A$6:$A$505,A358),"Y","N"))</f>
        <v/>
      </c>
      <c r="AD358" s="15">
        <f>IF(A358="","",COUNTIF('Register'!$A$6:$A$505,A358))</f>
        <v/>
      </c>
      <c r="AE358" s="17" t="n"/>
      <c r="AF358" s="16" t="n"/>
      <c r="AG358" s="17" t="n"/>
      <c r="AH358" s="17" t="n"/>
      <c r="AI358" s="19">
        <f>IF(AE358="","",AE358+IF(AF358="",TA_NOC,AF358))</f>
        <v/>
      </c>
      <c r="AJ358" s="15">
        <f>IF(AE358="","",IF(AG358="",DATADATE,AG358)-AE358)</f>
        <v/>
      </c>
      <c r="AK358" s="15">
        <f>IF(OR(AI358="",AG358&lt;&gt;""),"",IF(DATADATE&gt;AI358,"OVERDUE",""))</f>
        <v/>
      </c>
      <c r="AL358" s="15">
        <f>IF(AH358="","",IF(AH358&lt;DATADATE,"EXPIRED",IF(AH358-DATADATE&lt;=WARN_EXP,"EXPIRING","")))</f>
        <v/>
      </c>
      <c r="AM358" s="16" t="n"/>
      <c r="AN358" s="16" t="n"/>
      <c r="AO358" s="16" t="n"/>
      <c r="AP358" s="16" t="n"/>
    </row>
    <row r="359">
      <c r="A359" s="15">
        <f>IF(AA359="","",PROJ&amp;"-NOC-"&amp;Z359&amp;"-"&amp;TEXT(AA359,"0000"))</f>
        <v/>
      </c>
      <c r="B359" s="15">
        <f>IF(AA359="","",PROJ)</f>
        <v/>
      </c>
      <c r="C359" s="16" t="n"/>
      <c r="D359" s="16" t="n"/>
      <c r="E359" s="16" t="n"/>
      <c r="F359" s="16" t="n"/>
      <c r="G359" s="16" t="n"/>
      <c r="H359" s="16" t="n"/>
      <c r="I359" s="16" t="n"/>
      <c r="J359" s="16" t="n"/>
      <c r="K359" s="16" t="n"/>
      <c r="L359" s="16" t="n"/>
      <c r="M359" s="16" t="n"/>
      <c r="N359" s="16" t="n"/>
      <c r="O359" s="17" t="n"/>
      <c r="P359" s="16" t="n"/>
      <c r="Q359" s="16" t="n"/>
      <c r="R359" s="16" t="n"/>
      <c r="S359" s="16" t="n"/>
      <c r="T359" s="16" t="n"/>
      <c r="U359" s="16" t="n"/>
      <c r="V359" s="16" t="n"/>
      <c r="W359" s="16" t="n"/>
      <c r="X359" s="16" t="n"/>
      <c r="Y359" s="16" t="n"/>
      <c r="Z359" s="16" t="n"/>
      <c r="AA359" s="16" t="n"/>
      <c r="AB359" s="18" t="n"/>
      <c r="AC359" s="15">
        <f>IF(A359="","",IF(AB359=_xlfn.MAXIFS('Register'!$AB$6:$AB$505,'Register'!$A$6:$A$505,A359),"Y","N"))</f>
        <v/>
      </c>
      <c r="AD359" s="15">
        <f>IF(A359="","",COUNTIF('Register'!$A$6:$A$505,A359))</f>
        <v/>
      </c>
      <c r="AE359" s="17" t="n"/>
      <c r="AF359" s="16" t="n"/>
      <c r="AG359" s="17" t="n"/>
      <c r="AH359" s="17" t="n"/>
      <c r="AI359" s="19">
        <f>IF(AE359="","",AE359+IF(AF359="",TA_NOC,AF359))</f>
        <v/>
      </c>
      <c r="AJ359" s="15">
        <f>IF(AE359="","",IF(AG359="",DATADATE,AG359)-AE359)</f>
        <v/>
      </c>
      <c r="AK359" s="15">
        <f>IF(OR(AI359="",AG359&lt;&gt;""),"",IF(DATADATE&gt;AI359,"OVERDUE",""))</f>
        <v/>
      </c>
      <c r="AL359" s="15">
        <f>IF(AH359="","",IF(AH359&lt;DATADATE,"EXPIRED",IF(AH359-DATADATE&lt;=WARN_EXP,"EXPIRING","")))</f>
        <v/>
      </c>
      <c r="AM359" s="16" t="n"/>
      <c r="AN359" s="16" t="n"/>
      <c r="AO359" s="16" t="n"/>
      <c r="AP359" s="16" t="n"/>
    </row>
    <row r="360">
      <c r="A360" s="15">
        <f>IF(AA360="","",PROJ&amp;"-NOC-"&amp;Z360&amp;"-"&amp;TEXT(AA360,"0000"))</f>
        <v/>
      </c>
      <c r="B360" s="15">
        <f>IF(AA360="","",PROJ)</f>
        <v/>
      </c>
      <c r="C360" s="16" t="n"/>
      <c r="D360" s="16" t="n"/>
      <c r="E360" s="16" t="n"/>
      <c r="F360" s="16" t="n"/>
      <c r="G360" s="16" t="n"/>
      <c r="H360" s="16" t="n"/>
      <c r="I360" s="16" t="n"/>
      <c r="J360" s="16" t="n"/>
      <c r="K360" s="16" t="n"/>
      <c r="L360" s="16" t="n"/>
      <c r="M360" s="16" t="n"/>
      <c r="N360" s="16" t="n"/>
      <c r="O360" s="17" t="n"/>
      <c r="P360" s="16" t="n"/>
      <c r="Q360" s="16" t="n"/>
      <c r="R360" s="16" t="n"/>
      <c r="S360" s="16" t="n"/>
      <c r="T360" s="16" t="n"/>
      <c r="U360" s="16" t="n"/>
      <c r="V360" s="16" t="n"/>
      <c r="W360" s="16" t="n"/>
      <c r="X360" s="16" t="n"/>
      <c r="Y360" s="16" t="n"/>
      <c r="Z360" s="16" t="n"/>
      <c r="AA360" s="16" t="n"/>
      <c r="AB360" s="18" t="n"/>
      <c r="AC360" s="15">
        <f>IF(A360="","",IF(AB360=_xlfn.MAXIFS('Register'!$AB$6:$AB$505,'Register'!$A$6:$A$505,A360),"Y","N"))</f>
        <v/>
      </c>
      <c r="AD360" s="15">
        <f>IF(A360="","",COUNTIF('Register'!$A$6:$A$505,A360))</f>
        <v/>
      </c>
      <c r="AE360" s="17" t="n"/>
      <c r="AF360" s="16" t="n"/>
      <c r="AG360" s="17" t="n"/>
      <c r="AH360" s="17" t="n"/>
      <c r="AI360" s="19">
        <f>IF(AE360="","",AE360+IF(AF360="",TA_NOC,AF360))</f>
        <v/>
      </c>
      <c r="AJ360" s="15">
        <f>IF(AE360="","",IF(AG360="",DATADATE,AG360)-AE360)</f>
        <v/>
      </c>
      <c r="AK360" s="15">
        <f>IF(OR(AI360="",AG360&lt;&gt;""),"",IF(DATADATE&gt;AI360,"OVERDUE",""))</f>
        <v/>
      </c>
      <c r="AL360" s="15">
        <f>IF(AH360="","",IF(AH360&lt;DATADATE,"EXPIRED",IF(AH360-DATADATE&lt;=WARN_EXP,"EXPIRING","")))</f>
        <v/>
      </c>
      <c r="AM360" s="16" t="n"/>
      <c r="AN360" s="16" t="n"/>
      <c r="AO360" s="16" t="n"/>
      <c r="AP360" s="16" t="n"/>
    </row>
    <row r="361">
      <c r="A361" s="15">
        <f>IF(AA361="","",PROJ&amp;"-NOC-"&amp;Z361&amp;"-"&amp;TEXT(AA361,"0000"))</f>
        <v/>
      </c>
      <c r="B361" s="15">
        <f>IF(AA361="","",PROJ)</f>
        <v/>
      </c>
      <c r="C361" s="16" t="n"/>
      <c r="D361" s="16" t="n"/>
      <c r="E361" s="16" t="n"/>
      <c r="F361" s="16" t="n"/>
      <c r="G361" s="16" t="n"/>
      <c r="H361" s="16" t="n"/>
      <c r="I361" s="16" t="n"/>
      <c r="J361" s="16" t="n"/>
      <c r="K361" s="16" t="n"/>
      <c r="L361" s="16" t="n"/>
      <c r="M361" s="16" t="n"/>
      <c r="N361" s="16" t="n"/>
      <c r="O361" s="17" t="n"/>
      <c r="P361" s="16" t="n"/>
      <c r="Q361" s="16" t="n"/>
      <c r="R361" s="16" t="n"/>
      <c r="S361" s="16" t="n"/>
      <c r="T361" s="16" t="n"/>
      <c r="U361" s="16" t="n"/>
      <c r="V361" s="16" t="n"/>
      <c r="W361" s="16" t="n"/>
      <c r="X361" s="16" t="n"/>
      <c r="Y361" s="16" t="n"/>
      <c r="Z361" s="16" t="n"/>
      <c r="AA361" s="16" t="n"/>
      <c r="AB361" s="18" t="n"/>
      <c r="AC361" s="15">
        <f>IF(A361="","",IF(AB361=_xlfn.MAXIFS('Register'!$AB$6:$AB$505,'Register'!$A$6:$A$505,A361),"Y","N"))</f>
        <v/>
      </c>
      <c r="AD361" s="15">
        <f>IF(A361="","",COUNTIF('Register'!$A$6:$A$505,A361))</f>
        <v/>
      </c>
      <c r="AE361" s="17" t="n"/>
      <c r="AF361" s="16" t="n"/>
      <c r="AG361" s="17" t="n"/>
      <c r="AH361" s="17" t="n"/>
      <c r="AI361" s="19">
        <f>IF(AE361="","",AE361+IF(AF361="",TA_NOC,AF361))</f>
        <v/>
      </c>
      <c r="AJ361" s="15">
        <f>IF(AE361="","",IF(AG361="",DATADATE,AG361)-AE361)</f>
        <v/>
      </c>
      <c r="AK361" s="15">
        <f>IF(OR(AI361="",AG361&lt;&gt;""),"",IF(DATADATE&gt;AI361,"OVERDUE",""))</f>
        <v/>
      </c>
      <c r="AL361" s="15">
        <f>IF(AH361="","",IF(AH361&lt;DATADATE,"EXPIRED",IF(AH361-DATADATE&lt;=WARN_EXP,"EXPIRING","")))</f>
        <v/>
      </c>
      <c r="AM361" s="16" t="n"/>
      <c r="AN361" s="16" t="n"/>
      <c r="AO361" s="16" t="n"/>
      <c r="AP361" s="16" t="n"/>
    </row>
    <row r="362">
      <c r="A362" s="15">
        <f>IF(AA362="","",PROJ&amp;"-NOC-"&amp;Z362&amp;"-"&amp;TEXT(AA362,"0000"))</f>
        <v/>
      </c>
      <c r="B362" s="15">
        <f>IF(AA362="","",PROJ)</f>
        <v/>
      </c>
      <c r="C362" s="16" t="n"/>
      <c r="D362" s="16" t="n"/>
      <c r="E362" s="16" t="n"/>
      <c r="F362" s="16" t="n"/>
      <c r="G362" s="16" t="n"/>
      <c r="H362" s="16" t="n"/>
      <c r="I362" s="16" t="n"/>
      <c r="J362" s="16" t="n"/>
      <c r="K362" s="16" t="n"/>
      <c r="L362" s="16" t="n"/>
      <c r="M362" s="16" t="n"/>
      <c r="N362" s="16" t="n"/>
      <c r="O362" s="17" t="n"/>
      <c r="P362" s="16" t="n"/>
      <c r="Q362" s="16" t="n"/>
      <c r="R362" s="16" t="n"/>
      <c r="S362" s="16" t="n"/>
      <c r="T362" s="16" t="n"/>
      <c r="U362" s="16" t="n"/>
      <c r="V362" s="16" t="n"/>
      <c r="W362" s="16" t="n"/>
      <c r="X362" s="16" t="n"/>
      <c r="Y362" s="16" t="n"/>
      <c r="Z362" s="16" t="n"/>
      <c r="AA362" s="16" t="n"/>
      <c r="AB362" s="18" t="n"/>
      <c r="AC362" s="15">
        <f>IF(A362="","",IF(AB362=_xlfn.MAXIFS('Register'!$AB$6:$AB$505,'Register'!$A$6:$A$505,A362),"Y","N"))</f>
        <v/>
      </c>
      <c r="AD362" s="15">
        <f>IF(A362="","",COUNTIF('Register'!$A$6:$A$505,A362))</f>
        <v/>
      </c>
      <c r="AE362" s="17" t="n"/>
      <c r="AF362" s="16" t="n"/>
      <c r="AG362" s="17" t="n"/>
      <c r="AH362" s="17" t="n"/>
      <c r="AI362" s="19">
        <f>IF(AE362="","",AE362+IF(AF362="",TA_NOC,AF362))</f>
        <v/>
      </c>
      <c r="AJ362" s="15">
        <f>IF(AE362="","",IF(AG362="",DATADATE,AG362)-AE362)</f>
        <v/>
      </c>
      <c r="AK362" s="15">
        <f>IF(OR(AI362="",AG362&lt;&gt;""),"",IF(DATADATE&gt;AI362,"OVERDUE",""))</f>
        <v/>
      </c>
      <c r="AL362" s="15">
        <f>IF(AH362="","",IF(AH362&lt;DATADATE,"EXPIRED",IF(AH362-DATADATE&lt;=WARN_EXP,"EXPIRING","")))</f>
        <v/>
      </c>
      <c r="AM362" s="16" t="n"/>
      <c r="AN362" s="16" t="n"/>
      <c r="AO362" s="16" t="n"/>
      <c r="AP362" s="16" t="n"/>
    </row>
    <row r="363">
      <c r="A363" s="15">
        <f>IF(AA363="","",PROJ&amp;"-NOC-"&amp;Z363&amp;"-"&amp;TEXT(AA363,"0000"))</f>
        <v/>
      </c>
      <c r="B363" s="15">
        <f>IF(AA363="","",PROJ)</f>
        <v/>
      </c>
      <c r="C363" s="16" t="n"/>
      <c r="D363" s="16" t="n"/>
      <c r="E363" s="16" t="n"/>
      <c r="F363" s="16" t="n"/>
      <c r="G363" s="16" t="n"/>
      <c r="H363" s="16" t="n"/>
      <c r="I363" s="16" t="n"/>
      <c r="J363" s="16" t="n"/>
      <c r="K363" s="16" t="n"/>
      <c r="L363" s="16" t="n"/>
      <c r="M363" s="16" t="n"/>
      <c r="N363" s="16" t="n"/>
      <c r="O363" s="17" t="n"/>
      <c r="P363" s="16" t="n"/>
      <c r="Q363" s="16" t="n"/>
      <c r="R363" s="16" t="n"/>
      <c r="S363" s="16" t="n"/>
      <c r="T363" s="16" t="n"/>
      <c r="U363" s="16" t="n"/>
      <c r="V363" s="16" t="n"/>
      <c r="W363" s="16" t="n"/>
      <c r="X363" s="16" t="n"/>
      <c r="Y363" s="16" t="n"/>
      <c r="Z363" s="16" t="n"/>
      <c r="AA363" s="16" t="n"/>
      <c r="AB363" s="18" t="n"/>
      <c r="AC363" s="15">
        <f>IF(A363="","",IF(AB363=_xlfn.MAXIFS('Register'!$AB$6:$AB$505,'Register'!$A$6:$A$505,A363),"Y","N"))</f>
        <v/>
      </c>
      <c r="AD363" s="15">
        <f>IF(A363="","",COUNTIF('Register'!$A$6:$A$505,A363))</f>
        <v/>
      </c>
      <c r="AE363" s="17" t="n"/>
      <c r="AF363" s="16" t="n"/>
      <c r="AG363" s="17" t="n"/>
      <c r="AH363" s="17" t="n"/>
      <c r="AI363" s="19">
        <f>IF(AE363="","",AE363+IF(AF363="",TA_NOC,AF363))</f>
        <v/>
      </c>
      <c r="AJ363" s="15">
        <f>IF(AE363="","",IF(AG363="",DATADATE,AG363)-AE363)</f>
        <v/>
      </c>
      <c r="AK363" s="15">
        <f>IF(OR(AI363="",AG363&lt;&gt;""),"",IF(DATADATE&gt;AI363,"OVERDUE",""))</f>
        <v/>
      </c>
      <c r="AL363" s="15">
        <f>IF(AH363="","",IF(AH363&lt;DATADATE,"EXPIRED",IF(AH363-DATADATE&lt;=WARN_EXP,"EXPIRING","")))</f>
        <v/>
      </c>
      <c r="AM363" s="16" t="n"/>
      <c r="AN363" s="16" t="n"/>
      <c r="AO363" s="16" t="n"/>
      <c r="AP363" s="16" t="n"/>
    </row>
    <row r="364">
      <c r="A364" s="15">
        <f>IF(AA364="","",PROJ&amp;"-NOC-"&amp;Z364&amp;"-"&amp;TEXT(AA364,"0000"))</f>
        <v/>
      </c>
      <c r="B364" s="15">
        <f>IF(AA364="","",PROJ)</f>
        <v/>
      </c>
      <c r="C364" s="16" t="n"/>
      <c r="D364" s="16" t="n"/>
      <c r="E364" s="16" t="n"/>
      <c r="F364" s="16" t="n"/>
      <c r="G364" s="16" t="n"/>
      <c r="H364" s="16" t="n"/>
      <c r="I364" s="16" t="n"/>
      <c r="J364" s="16" t="n"/>
      <c r="K364" s="16" t="n"/>
      <c r="L364" s="16" t="n"/>
      <c r="M364" s="16" t="n"/>
      <c r="N364" s="16" t="n"/>
      <c r="O364" s="17" t="n"/>
      <c r="P364" s="16" t="n"/>
      <c r="Q364" s="16" t="n"/>
      <c r="R364" s="16" t="n"/>
      <c r="S364" s="16" t="n"/>
      <c r="T364" s="16" t="n"/>
      <c r="U364" s="16" t="n"/>
      <c r="V364" s="16" t="n"/>
      <c r="W364" s="16" t="n"/>
      <c r="X364" s="16" t="n"/>
      <c r="Y364" s="16" t="n"/>
      <c r="Z364" s="16" t="n"/>
      <c r="AA364" s="16" t="n"/>
      <c r="AB364" s="18" t="n"/>
      <c r="AC364" s="15">
        <f>IF(A364="","",IF(AB364=_xlfn.MAXIFS('Register'!$AB$6:$AB$505,'Register'!$A$6:$A$505,A364),"Y","N"))</f>
        <v/>
      </c>
      <c r="AD364" s="15">
        <f>IF(A364="","",COUNTIF('Register'!$A$6:$A$505,A364))</f>
        <v/>
      </c>
      <c r="AE364" s="17" t="n"/>
      <c r="AF364" s="16" t="n"/>
      <c r="AG364" s="17" t="n"/>
      <c r="AH364" s="17" t="n"/>
      <c r="AI364" s="19">
        <f>IF(AE364="","",AE364+IF(AF364="",TA_NOC,AF364))</f>
        <v/>
      </c>
      <c r="AJ364" s="15">
        <f>IF(AE364="","",IF(AG364="",DATADATE,AG364)-AE364)</f>
        <v/>
      </c>
      <c r="AK364" s="15">
        <f>IF(OR(AI364="",AG364&lt;&gt;""),"",IF(DATADATE&gt;AI364,"OVERDUE",""))</f>
        <v/>
      </c>
      <c r="AL364" s="15">
        <f>IF(AH364="","",IF(AH364&lt;DATADATE,"EXPIRED",IF(AH364-DATADATE&lt;=WARN_EXP,"EXPIRING","")))</f>
        <v/>
      </c>
      <c r="AM364" s="16" t="n"/>
      <c r="AN364" s="16" t="n"/>
      <c r="AO364" s="16" t="n"/>
      <c r="AP364" s="16" t="n"/>
    </row>
    <row r="365">
      <c r="A365" s="15">
        <f>IF(AA365="","",PROJ&amp;"-NOC-"&amp;Z365&amp;"-"&amp;TEXT(AA365,"0000"))</f>
        <v/>
      </c>
      <c r="B365" s="15">
        <f>IF(AA365="","",PROJ)</f>
        <v/>
      </c>
      <c r="C365" s="16" t="n"/>
      <c r="D365" s="16" t="n"/>
      <c r="E365" s="16" t="n"/>
      <c r="F365" s="16" t="n"/>
      <c r="G365" s="16" t="n"/>
      <c r="H365" s="16" t="n"/>
      <c r="I365" s="16" t="n"/>
      <c r="J365" s="16" t="n"/>
      <c r="K365" s="16" t="n"/>
      <c r="L365" s="16" t="n"/>
      <c r="M365" s="16" t="n"/>
      <c r="N365" s="16" t="n"/>
      <c r="O365" s="17" t="n"/>
      <c r="P365" s="16" t="n"/>
      <c r="Q365" s="16" t="n"/>
      <c r="R365" s="16" t="n"/>
      <c r="S365" s="16" t="n"/>
      <c r="T365" s="16" t="n"/>
      <c r="U365" s="16" t="n"/>
      <c r="V365" s="16" t="n"/>
      <c r="W365" s="16" t="n"/>
      <c r="X365" s="16" t="n"/>
      <c r="Y365" s="16" t="n"/>
      <c r="Z365" s="16" t="n"/>
      <c r="AA365" s="16" t="n"/>
      <c r="AB365" s="18" t="n"/>
      <c r="AC365" s="15">
        <f>IF(A365="","",IF(AB365=_xlfn.MAXIFS('Register'!$AB$6:$AB$505,'Register'!$A$6:$A$505,A365),"Y","N"))</f>
        <v/>
      </c>
      <c r="AD365" s="15">
        <f>IF(A365="","",COUNTIF('Register'!$A$6:$A$505,A365))</f>
        <v/>
      </c>
      <c r="AE365" s="17" t="n"/>
      <c r="AF365" s="16" t="n"/>
      <c r="AG365" s="17" t="n"/>
      <c r="AH365" s="17" t="n"/>
      <c r="AI365" s="19">
        <f>IF(AE365="","",AE365+IF(AF365="",TA_NOC,AF365))</f>
        <v/>
      </c>
      <c r="AJ365" s="15">
        <f>IF(AE365="","",IF(AG365="",DATADATE,AG365)-AE365)</f>
        <v/>
      </c>
      <c r="AK365" s="15">
        <f>IF(OR(AI365="",AG365&lt;&gt;""),"",IF(DATADATE&gt;AI365,"OVERDUE",""))</f>
        <v/>
      </c>
      <c r="AL365" s="15">
        <f>IF(AH365="","",IF(AH365&lt;DATADATE,"EXPIRED",IF(AH365-DATADATE&lt;=WARN_EXP,"EXPIRING","")))</f>
        <v/>
      </c>
      <c r="AM365" s="16" t="n"/>
      <c r="AN365" s="16" t="n"/>
      <c r="AO365" s="16" t="n"/>
      <c r="AP365" s="16" t="n"/>
    </row>
    <row r="366">
      <c r="A366" s="15">
        <f>IF(AA366="","",PROJ&amp;"-NOC-"&amp;Z366&amp;"-"&amp;TEXT(AA366,"0000"))</f>
        <v/>
      </c>
      <c r="B366" s="15">
        <f>IF(AA366="","",PROJ)</f>
        <v/>
      </c>
      <c r="C366" s="16" t="n"/>
      <c r="D366" s="16" t="n"/>
      <c r="E366" s="16" t="n"/>
      <c r="F366" s="16" t="n"/>
      <c r="G366" s="16" t="n"/>
      <c r="H366" s="16" t="n"/>
      <c r="I366" s="16" t="n"/>
      <c r="J366" s="16" t="n"/>
      <c r="K366" s="16" t="n"/>
      <c r="L366" s="16" t="n"/>
      <c r="M366" s="16" t="n"/>
      <c r="N366" s="16" t="n"/>
      <c r="O366" s="17" t="n"/>
      <c r="P366" s="16" t="n"/>
      <c r="Q366" s="16" t="n"/>
      <c r="R366" s="16" t="n"/>
      <c r="S366" s="16" t="n"/>
      <c r="T366" s="16" t="n"/>
      <c r="U366" s="16" t="n"/>
      <c r="V366" s="16" t="n"/>
      <c r="W366" s="16" t="n"/>
      <c r="X366" s="16" t="n"/>
      <c r="Y366" s="16" t="n"/>
      <c r="Z366" s="16" t="n"/>
      <c r="AA366" s="16" t="n"/>
      <c r="AB366" s="18" t="n"/>
      <c r="AC366" s="15">
        <f>IF(A366="","",IF(AB366=_xlfn.MAXIFS('Register'!$AB$6:$AB$505,'Register'!$A$6:$A$505,A366),"Y","N"))</f>
        <v/>
      </c>
      <c r="AD366" s="15">
        <f>IF(A366="","",COUNTIF('Register'!$A$6:$A$505,A366))</f>
        <v/>
      </c>
      <c r="AE366" s="17" t="n"/>
      <c r="AF366" s="16" t="n"/>
      <c r="AG366" s="17" t="n"/>
      <c r="AH366" s="17" t="n"/>
      <c r="AI366" s="19">
        <f>IF(AE366="","",AE366+IF(AF366="",TA_NOC,AF366))</f>
        <v/>
      </c>
      <c r="AJ366" s="15">
        <f>IF(AE366="","",IF(AG366="",DATADATE,AG366)-AE366)</f>
        <v/>
      </c>
      <c r="AK366" s="15">
        <f>IF(OR(AI366="",AG366&lt;&gt;""),"",IF(DATADATE&gt;AI366,"OVERDUE",""))</f>
        <v/>
      </c>
      <c r="AL366" s="15">
        <f>IF(AH366="","",IF(AH366&lt;DATADATE,"EXPIRED",IF(AH366-DATADATE&lt;=WARN_EXP,"EXPIRING","")))</f>
        <v/>
      </c>
      <c r="AM366" s="16" t="n"/>
      <c r="AN366" s="16" t="n"/>
      <c r="AO366" s="16" t="n"/>
      <c r="AP366" s="16" t="n"/>
    </row>
    <row r="367">
      <c r="A367" s="15">
        <f>IF(AA367="","",PROJ&amp;"-NOC-"&amp;Z367&amp;"-"&amp;TEXT(AA367,"0000"))</f>
        <v/>
      </c>
      <c r="B367" s="15">
        <f>IF(AA367="","",PROJ)</f>
        <v/>
      </c>
      <c r="C367" s="16" t="n"/>
      <c r="D367" s="16" t="n"/>
      <c r="E367" s="16" t="n"/>
      <c r="F367" s="16" t="n"/>
      <c r="G367" s="16" t="n"/>
      <c r="H367" s="16" t="n"/>
      <c r="I367" s="16" t="n"/>
      <c r="J367" s="16" t="n"/>
      <c r="K367" s="16" t="n"/>
      <c r="L367" s="16" t="n"/>
      <c r="M367" s="16" t="n"/>
      <c r="N367" s="16" t="n"/>
      <c r="O367" s="17" t="n"/>
      <c r="P367" s="16" t="n"/>
      <c r="Q367" s="16" t="n"/>
      <c r="R367" s="16" t="n"/>
      <c r="S367" s="16" t="n"/>
      <c r="T367" s="16" t="n"/>
      <c r="U367" s="16" t="n"/>
      <c r="V367" s="16" t="n"/>
      <c r="W367" s="16" t="n"/>
      <c r="X367" s="16" t="n"/>
      <c r="Y367" s="16" t="n"/>
      <c r="Z367" s="16" t="n"/>
      <c r="AA367" s="16" t="n"/>
      <c r="AB367" s="18" t="n"/>
      <c r="AC367" s="15">
        <f>IF(A367="","",IF(AB367=_xlfn.MAXIFS('Register'!$AB$6:$AB$505,'Register'!$A$6:$A$505,A367),"Y","N"))</f>
        <v/>
      </c>
      <c r="AD367" s="15">
        <f>IF(A367="","",COUNTIF('Register'!$A$6:$A$505,A367))</f>
        <v/>
      </c>
      <c r="AE367" s="17" t="n"/>
      <c r="AF367" s="16" t="n"/>
      <c r="AG367" s="17" t="n"/>
      <c r="AH367" s="17" t="n"/>
      <c r="AI367" s="19">
        <f>IF(AE367="","",AE367+IF(AF367="",TA_NOC,AF367))</f>
        <v/>
      </c>
      <c r="AJ367" s="15">
        <f>IF(AE367="","",IF(AG367="",DATADATE,AG367)-AE367)</f>
        <v/>
      </c>
      <c r="AK367" s="15">
        <f>IF(OR(AI367="",AG367&lt;&gt;""),"",IF(DATADATE&gt;AI367,"OVERDUE",""))</f>
        <v/>
      </c>
      <c r="AL367" s="15">
        <f>IF(AH367="","",IF(AH367&lt;DATADATE,"EXPIRED",IF(AH367-DATADATE&lt;=WARN_EXP,"EXPIRING","")))</f>
        <v/>
      </c>
      <c r="AM367" s="16" t="n"/>
      <c r="AN367" s="16" t="n"/>
      <c r="AO367" s="16" t="n"/>
      <c r="AP367" s="16" t="n"/>
    </row>
    <row r="368">
      <c r="A368" s="15">
        <f>IF(AA368="","",PROJ&amp;"-NOC-"&amp;Z368&amp;"-"&amp;TEXT(AA368,"0000"))</f>
        <v/>
      </c>
      <c r="B368" s="15">
        <f>IF(AA368="","",PROJ)</f>
        <v/>
      </c>
      <c r="C368" s="16" t="n"/>
      <c r="D368" s="16" t="n"/>
      <c r="E368" s="16" t="n"/>
      <c r="F368" s="16" t="n"/>
      <c r="G368" s="16" t="n"/>
      <c r="H368" s="16" t="n"/>
      <c r="I368" s="16" t="n"/>
      <c r="J368" s="16" t="n"/>
      <c r="K368" s="16" t="n"/>
      <c r="L368" s="16" t="n"/>
      <c r="M368" s="16" t="n"/>
      <c r="N368" s="16" t="n"/>
      <c r="O368" s="17" t="n"/>
      <c r="P368" s="16" t="n"/>
      <c r="Q368" s="16" t="n"/>
      <c r="R368" s="16" t="n"/>
      <c r="S368" s="16" t="n"/>
      <c r="T368" s="16" t="n"/>
      <c r="U368" s="16" t="n"/>
      <c r="V368" s="16" t="n"/>
      <c r="W368" s="16" t="n"/>
      <c r="X368" s="16" t="n"/>
      <c r="Y368" s="16" t="n"/>
      <c r="Z368" s="16" t="n"/>
      <c r="AA368" s="16" t="n"/>
      <c r="AB368" s="18" t="n"/>
      <c r="AC368" s="15">
        <f>IF(A368="","",IF(AB368=_xlfn.MAXIFS('Register'!$AB$6:$AB$505,'Register'!$A$6:$A$505,A368),"Y","N"))</f>
        <v/>
      </c>
      <c r="AD368" s="15">
        <f>IF(A368="","",COUNTIF('Register'!$A$6:$A$505,A368))</f>
        <v/>
      </c>
      <c r="AE368" s="17" t="n"/>
      <c r="AF368" s="16" t="n"/>
      <c r="AG368" s="17" t="n"/>
      <c r="AH368" s="17" t="n"/>
      <c r="AI368" s="19">
        <f>IF(AE368="","",AE368+IF(AF368="",TA_NOC,AF368))</f>
        <v/>
      </c>
      <c r="AJ368" s="15">
        <f>IF(AE368="","",IF(AG368="",DATADATE,AG368)-AE368)</f>
        <v/>
      </c>
      <c r="AK368" s="15">
        <f>IF(OR(AI368="",AG368&lt;&gt;""),"",IF(DATADATE&gt;AI368,"OVERDUE",""))</f>
        <v/>
      </c>
      <c r="AL368" s="15">
        <f>IF(AH368="","",IF(AH368&lt;DATADATE,"EXPIRED",IF(AH368-DATADATE&lt;=WARN_EXP,"EXPIRING","")))</f>
        <v/>
      </c>
      <c r="AM368" s="16" t="n"/>
      <c r="AN368" s="16" t="n"/>
      <c r="AO368" s="16" t="n"/>
      <c r="AP368" s="16" t="n"/>
    </row>
    <row r="369">
      <c r="A369" s="15">
        <f>IF(AA369="","",PROJ&amp;"-NOC-"&amp;Z369&amp;"-"&amp;TEXT(AA369,"0000"))</f>
        <v/>
      </c>
      <c r="B369" s="15">
        <f>IF(AA369="","",PROJ)</f>
        <v/>
      </c>
      <c r="C369" s="16" t="n"/>
      <c r="D369" s="16" t="n"/>
      <c r="E369" s="16" t="n"/>
      <c r="F369" s="16" t="n"/>
      <c r="G369" s="16" t="n"/>
      <c r="H369" s="16" t="n"/>
      <c r="I369" s="16" t="n"/>
      <c r="J369" s="16" t="n"/>
      <c r="K369" s="16" t="n"/>
      <c r="L369" s="16" t="n"/>
      <c r="M369" s="16" t="n"/>
      <c r="N369" s="16" t="n"/>
      <c r="O369" s="17" t="n"/>
      <c r="P369" s="16" t="n"/>
      <c r="Q369" s="16" t="n"/>
      <c r="R369" s="16" t="n"/>
      <c r="S369" s="16" t="n"/>
      <c r="T369" s="16" t="n"/>
      <c r="U369" s="16" t="n"/>
      <c r="V369" s="16" t="n"/>
      <c r="W369" s="16" t="n"/>
      <c r="X369" s="16" t="n"/>
      <c r="Y369" s="16" t="n"/>
      <c r="Z369" s="16" t="n"/>
      <c r="AA369" s="16" t="n"/>
      <c r="AB369" s="18" t="n"/>
      <c r="AC369" s="15">
        <f>IF(A369="","",IF(AB369=_xlfn.MAXIFS('Register'!$AB$6:$AB$505,'Register'!$A$6:$A$505,A369),"Y","N"))</f>
        <v/>
      </c>
      <c r="AD369" s="15">
        <f>IF(A369="","",COUNTIF('Register'!$A$6:$A$505,A369))</f>
        <v/>
      </c>
      <c r="AE369" s="17" t="n"/>
      <c r="AF369" s="16" t="n"/>
      <c r="AG369" s="17" t="n"/>
      <c r="AH369" s="17" t="n"/>
      <c r="AI369" s="19">
        <f>IF(AE369="","",AE369+IF(AF369="",TA_NOC,AF369))</f>
        <v/>
      </c>
      <c r="AJ369" s="15">
        <f>IF(AE369="","",IF(AG369="",DATADATE,AG369)-AE369)</f>
        <v/>
      </c>
      <c r="AK369" s="15">
        <f>IF(OR(AI369="",AG369&lt;&gt;""),"",IF(DATADATE&gt;AI369,"OVERDUE",""))</f>
        <v/>
      </c>
      <c r="AL369" s="15">
        <f>IF(AH369="","",IF(AH369&lt;DATADATE,"EXPIRED",IF(AH369-DATADATE&lt;=WARN_EXP,"EXPIRING","")))</f>
        <v/>
      </c>
      <c r="AM369" s="16" t="n"/>
      <c r="AN369" s="16" t="n"/>
      <c r="AO369" s="16" t="n"/>
      <c r="AP369" s="16" t="n"/>
    </row>
    <row r="370">
      <c r="A370" s="15">
        <f>IF(AA370="","",PROJ&amp;"-NOC-"&amp;Z370&amp;"-"&amp;TEXT(AA370,"0000"))</f>
        <v/>
      </c>
      <c r="B370" s="15">
        <f>IF(AA370="","",PROJ)</f>
        <v/>
      </c>
      <c r="C370" s="16" t="n"/>
      <c r="D370" s="16" t="n"/>
      <c r="E370" s="16" t="n"/>
      <c r="F370" s="16" t="n"/>
      <c r="G370" s="16" t="n"/>
      <c r="H370" s="16" t="n"/>
      <c r="I370" s="16" t="n"/>
      <c r="J370" s="16" t="n"/>
      <c r="K370" s="16" t="n"/>
      <c r="L370" s="16" t="n"/>
      <c r="M370" s="16" t="n"/>
      <c r="N370" s="16" t="n"/>
      <c r="O370" s="17" t="n"/>
      <c r="P370" s="16" t="n"/>
      <c r="Q370" s="16" t="n"/>
      <c r="R370" s="16" t="n"/>
      <c r="S370" s="16" t="n"/>
      <c r="T370" s="16" t="n"/>
      <c r="U370" s="16" t="n"/>
      <c r="V370" s="16" t="n"/>
      <c r="W370" s="16" t="n"/>
      <c r="X370" s="16" t="n"/>
      <c r="Y370" s="16" t="n"/>
      <c r="Z370" s="16" t="n"/>
      <c r="AA370" s="16" t="n"/>
      <c r="AB370" s="18" t="n"/>
      <c r="AC370" s="15">
        <f>IF(A370="","",IF(AB370=_xlfn.MAXIFS('Register'!$AB$6:$AB$505,'Register'!$A$6:$A$505,A370),"Y","N"))</f>
        <v/>
      </c>
      <c r="AD370" s="15">
        <f>IF(A370="","",COUNTIF('Register'!$A$6:$A$505,A370))</f>
        <v/>
      </c>
      <c r="AE370" s="17" t="n"/>
      <c r="AF370" s="16" t="n"/>
      <c r="AG370" s="17" t="n"/>
      <c r="AH370" s="17" t="n"/>
      <c r="AI370" s="19">
        <f>IF(AE370="","",AE370+IF(AF370="",TA_NOC,AF370))</f>
        <v/>
      </c>
      <c r="AJ370" s="15">
        <f>IF(AE370="","",IF(AG370="",DATADATE,AG370)-AE370)</f>
        <v/>
      </c>
      <c r="AK370" s="15">
        <f>IF(OR(AI370="",AG370&lt;&gt;""),"",IF(DATADATE&gt;AI370,"OVERDUE",""))</f>
        <v/>
      </c>
      <c r="AL370" s="15">
        <f>IF(AH370="","",IF(AH370&lt;DATADATE,"EXPIRED",IF(AH370-DATADATE&lt;=WARN_EXP,"EXPIRING","")))</f>
        <v/>
      </c>
      <c r="AM370" s="16" t="n"/>
      <c r="AN370" s="16" t="n"/>
      <c r="AO370" s="16" t="n"/>
      <c r="AP370" s="16" t="n"/>
    </row>
    <row r="371">
      <c r="A371" s="15">
        <f>IF(AA371="","",PROJ&amp;"-NOC-"&amp;Z371&amp;"-"&amp;TEXT(AA371,"0000"))</f>
        <v/>
      </c>
      <c r="B371" s="15">
        <f>IF(AA371="","",PROJ)</f>
        <v/>
      </c>
      <c r="C371" s="16" t="n"/>
      <c r="D371" s="16" t="n"/>
      <c r="E371" s="16" t="n"/>
      <c r="F371" s="16" t="n"/>
      <c r="G371" s="16" t="n"/>
      <c r="H371" s="16" t="n"/>
      <c r="I371" s="16" t="n"/>
      <c r="J371" s="16" t="n"/>
      <c r="K371" s="16" t="n"/>
      <c r="L371" s="16" t="n"/>
      <c r="M371" s="16" t="n"/>
      <c r="N371" s="16" t="n"/>
      <c r="O371" s="17" t="n"/>
      <c r="P371" s="16" t="n"/>
      <c r="Q371" s="16" t="n"/>
      <c r="R371" s="16" t="n"/>
      <c r="S371" s="16" t="n"/>
      <c r="T371" s="16" t="n"/>
      <c r="U371" s="16" t="n"/>
      <c r="V371" s="16" t="n"/>
      <c r="W371" s="16" t="n"/>
      <c r="X371" s="16" t="n"/>
      <c r="Y371" s="16" t="n"/>
      <c r="Z371" s="16" t="n"/>
      <c r="AA371" s="16" t="n"/>
      <c r="AB371" s="18" t="n"/>
      <c r="AC371" s="15">
        <f>IF(A371="","",IF(AB371=_xlfn.MAXIFS('Register'!$AB$6:$AB$505,'Register'!$A$6:$A$505,A371),"Y","N"))</f>
        <v/>
      </c>
      <c r="AD371" s="15">
        <f>IF(A371="","",COUNTIF('Register'!$A$6:$A$505,A371))</f>
        <v/>
      </c>
      <c r="AE371" s="17" t="n"/>
      <c r="AF371" s="16" t="n"/>
      <c r="AG371" s="17" t="n"/>
      <c r="AH371" s="17" t="n"/>
      <c r="AI371" s="19">
        <f>IF(AE371="","",AE371+IF(AF371="",TA_NOC,AF371))</f>
        <v/>
      </c>
      <c r="AJ371" s="15">
        <f>IF(AE371="","",IF(AG371="",DATADATE,AG371)-AE371)</f>
        <v/>
      </c>
      <c r="AK371" s="15">
        <f>IF(OR(AI371="",AG371&lt;&gt;""),"",IF(DATADATE&gt;AI371,"OVERDUE",""))</f>
        <v/>
      </c>
      <c r="AL371" s="15">
        <f>IF(AH371="","",IF(AH371&lt;DATADATE,"EXPIRED",IF(AH371-DATADATE&lt;=WARN_EXP,"EXPIRING","")))</f>
        <v/>
      </c>
      <c r="AM371" s="16" t="n"/>
      <c r="AN371" s="16" t="n"/>
      <c r="AO371" s="16" t="n"/>
      <c r="AP371" s="16" t="n"/>
    </row>
    <row r="372">
      <c r="A372" s="15">
        <f>IF(AA372="","",PROJ&amp;"-NOC-"&amp;Z372&amp;"-"&amp;TEXT(AA372,"0000"))</f>
        <v/>
      </c>
      <c r="B372" s="15">
        <f>IF(AA372="","",PROJ)</f>
        <v/>
      </c>
      <c r="C372" s="16" t="n"/>
      <c r="D372" s="16" t="n"/>
      <c r="E372" s="16" t="n"/>
      <c r="F372" s="16" t="n"/>
      <c r="G372" s="16" t="n"/>
      <c r="H372" s="16" t="n"/>
      <c r="I372" s="16" t="n"/>
      <c r="J372" s="16" t="n"/>
      <c r="K372" s="16" t="n"/>
      <c r="L372" s="16" t="n"/>
      <c r="M372" s="16" t="n"/>
      <c r="N372" s="16" t="n"/>
      <c r="O372" s="17" t="n"/>
      <c r="P372" s="16" t="n"/>
      <c r="Q372" s="16" t="n"/>
      <c r="R372" s="16" t="n"/>
      <c r="S372" s="16" t="n"/>
      <c r="T372" s="16" t="n"/>
      <c r="U372" s="16" t="n"/>
      <c r="V372" s="16" t="n"/>
      <c r="W372" s="16" t="n"/>
      <c r="X372" s="16" t="n"/>
      <c r="Y372" s="16" t="n"/>
      <c r="Z372" s="16" t="n"/>
      <c r="AA372" s="16" t="n"/>
      <c r="AB372" s="18" t="n"/>
      <c r="AC372" s="15">
        <f>IF(A372="","",IF(AB372=_xlfn.MAXIFS('Register'!$AB$6:$AB$505,'Register'!$A$6:$A$505,A372),"Y","N"))</f>
        <v/>
      </c>
      <c r="AD372" s="15">
        <f>IF(A372="","",COUNTIF('Register'!$A$6:$A$505,A372))</f>
        <v/>
      </c>
      <c r="AE372" s="17" t="n"/>
      <c r="AF372" s="16" t="n"/>
      <c r="AG372" s="17" t="n"/>
      <c r="AH372" s="17" t="n"/>
      <c r="AI372" s="19">
        <f>IF(AE372="","",AE372+IF(AF372="",TA_NOC,AF372))</f>
        <v/>
      </c>
      <c r="AJ372" s="15">
        <f>IF(AE372="","",IF(AG372="",DATADATE,AG372)-AE372)</f>
        <v/>
      </c>
      <c r="AK372" s="15">
        <f>IF(OR(AI372="",AG372&lt;&gt;""),"",IF(DATADATE&gt;AI372,"OVERDUE",""))</f>
        <v/>
      </c>
      <c r="AL372" s="15">
        <f>IF(AH372="","",IF(AH372&lt;DATADATE,"EXPIRED",IF(AH372-DATADATE&lt;=WARN_EXP,"EXPIRING","")))</f>
        <v/>
      </c>
      <c r="AM372" s="16" t="n"/>
      <c r="AN372" s="16" t="n"/>
      <c r="AO372" s="16" t="n"/>
      <c r="AP372" s="16" t="n"/>
    </row>
    <row r="373">
      <c r="A373" s="15">
        <f>IF(AA373="","",PROJ&amp;"-NOC-"&amp;Z373&amp;"-"&amp;TEXT(AA373,"0000"))</f>
        <v/>
      </c>
      <c r="B373" s="15">
        <f>IF(AA373="","",PROJ)</f>
        <v/>
      </c>
      <c r="C373" s="16" t="n"/>
      <c r="D373" s="16" t="n"/>
      <c r="E373" s="16" t="n"/>
      <c r="F373" s="16" t="n"/>
      <c r="G373" s="16" t="n"/>
      <c r="H373" s="16" t="n"/>
      <c r="I373" s="16" t="n"/>
      <c r="J373" s="16" t="n"/>
      <c r="K373" s="16" t="n"/>
      <c r="L373" s="16" t="n"/>
      <c r="M373" s="16" t="n"/>
      <c r="N373" s="16" t="n"/>
      <c r="O373" s="17" t="n"/>
      <c r="P373" s="16" t="n"/>
      <c r="Q373" s="16" t="n"/>
      <c r="R373" s="16" t="n"/>
      <c r="S373" s="16" t="n"/>
      <c r="T373" s="16" t="n"/>
      <c r="U373" s="16" t="n"/>
      <c r="V373" s="16" t="n"/>
      <c r="W373" s="16" t="n"/>
      <c r="X373" s="16" t="n"/>
      <c r="Y373" s="16" t="n"/>
      <c r="Z373" s="16" t="n"/>
      <c r="AA373" s="16" t="n"/>
      <c r="AB373" s="18" t="n"/>
      <c r="AC373" s="15">
        <f>IF(A373="","",IF(AB373=_xlfn.MAXIFS('Register'!$AB$6:$AB$505,'Register'!$A$6:$A$505,A373),"Y","N"))</f>
        <v/>
      </c>
      <c r="AD373" s="15">
        <f>IF(A373="","",COUNTIF('Register'!$A$6:$A$505,A373))</f>
        <v/>
      </c>
      <c r="AE373" s="17" t="n"/>
      <c r="AF373" s="16" t="n"/>
      <c r="AG373" s="17" t="n"/>
      <c r="AH373" s="17" t="n"/>
      <c r="AI373" s="19">
        <f>IF(AE373="","",AE373+IF(AF373="",TA_NOC,AF373))</f>
        <v/>
      </c>
      <c r="AJ373" s="15">
        <f>IF(AE373="","",IF(AG373="",DATADATE,AG373)-AE373)</f>
        <v/>
      </c>
      <c r="AK373" s="15">
        <f>IF(OR(AI373="",AG373&lt;&gt;""),"",IF(DATADATE&gt;AI373,"OVERDUE",""))</f>
        <v/>
      </c>
      <c r="AL373" s="15">
        <f>IF(AH373="","",IF(AH373&lt;DATADATE,"EXPIRED",IF(AH373-DATADATE&lt;=WARN_EXP,"EXPIRING","")))</f>
        <v/>
      </c>
      <c r="AM373" s="16" t="n"/>
      <c r="AN373" s="16" t="n"/>
      <c r="AO373" s="16" t="n"/>
      <c r="AP373" s="16" t="n"/>
    </row>
    <row r="374">
      <c r="A374" s="15">
        <f>IF(AA374="","",PROJ&amp;"-NOC-"&amp;Z374&amp;"-"&amp;TEXT(AA374,"0000"))</f>
        <v/>
      </c>
      <c r="B374" s="15">
        <f>IF(AA374="","",PROJ)</f>
        <v/>
      </c>
      <c r="C374" s="16" t="n"/>
      <c r="D374" s="16" t="n"/>
      <c r="E374" s="16" t="n"/>
      <c r="F374" s="16" t="n"/>
      <c r="G374" s="16" t="n"/>
      <c r="H374" s="16" t="n"/>
      <c r="I374" s="16" t="n"/>
      <c r="J374" s="16" t="n"/>
      <c r="K374" s="16" t="n"/>
      <c r="L374" s="16" t="n"/>
      <c r="M374" s="16" t="n"/>
      <c r="N374" s="16" t="n"/>
      <c r="O374" s="17" t="n"/>
      <c r="P374" s="16" t="n"/>
      <c r="Q374" s="16" t="n"/>
      <c r="R374" s="16" t="n"/>
      <c r="S374" s="16" t="n"/>
      <c r="T374" s="16" t="n"/>
      <c r="U374" s="16" t="n"/>
      <c r="V374" s="16" t="n"/>
      <c r="W374" s="16" t="n"/>
      <c r="X374" s="16" t="n"/>
      <c r="Y374" s="16" t="n"/>
      <c r="Z374" s="16" t="n"/>
      <c r="AA374" s="16" t="n"/>
      <c r="AB374" s="18" t="n"/>
      <c r="AC374" s="15">
        <f>IF(A374="","",IF(AB374=_xlfn.MAXIFS('Register'!$AB$6:$AB$505,'Register'!$A$6:$A$505,A374),"Y","N"))</f>
        <v/>
      </c>
      <c r="AD374" s="15">
        <f>IF(A374="","",COUNTIF('Register'!$A$6:$A$505,A374))</f>
        <v/>
      </c>
      <c r="AE374" s="17" t="n"/>
      <c r="AF374" s="16" t="n"/>
      <c r="AG374" s="17" t="n"/>
      <c r="AH374" s="17" t="n"/>
      <c r="AI374" s="19">
        <f>IF(AE374="","",AE374+IF(AF374="",TA_NOC,AF374))</f>
        <v/>
      </c>
      <c r="AJ374" s="15">
        <f>IF(AE374="","",IF(AG374="",DATADATE,AG374)-AE374)</f>
        <v/>
      </c>
      <c r="AK374" s="15">
        <f>IF(OR(AI374="",AG374&lt;&gt;""),"",IF(DATADATE&gt;AI374,"OVERDUE",""))</f>
        <v/>
      </c>
      <c r="AL374" s="15">
        <f>IF(AH374="","",IF(AH374&lt;DATADATE,"EXPIRED",IF(AH374-DATADATE&lt;=WARN_EXP,"EXPIRING","")))</f>
        <v/>
      </c>
      <c r="AM374" s="16" t="n"/>
      <c r="AN374" s="16" t="n"/>
      <c r="AO374" s="16" t="n"/>
      <c r="AP374" s="16" t="n"/>
    </row>
    <row r="375">
      <c r="A375" s="15">
        <f>IF(AA375="","",PROJ&amp;"-NOC-"&amp;Z375&amp;"-"&amp;TEXT(AA375,"0000"))</f>
        <v/>
      </c>
      <c r="B375" s="15">
        <f>IF(AA375="","",PROJ)</f>
        <v/>
      </c>
      <c r="C375" s="16" t="n"/>
      <c r="D375" s="16" t="n"/>
      <c r="E375" s="16" t="n"/>
      <c r="F375" s="16" t="n"/>
      <c r="G375" s="16" t="n"/>
      <c r="H375" s="16" t="n"/>
      <c r="I375" s="16" t="n"/>
      <c r="J375" s="16" t="n"/>
      <c r="K375" s="16" t="n"/>
      <c r="L375" s="16" t="n"/>
      <c r="M375" s="16" t="n"/>
      <c r="N375" s="16" t="n"/>
      <c r="O375" s="17" t="n"/>
      <c r="P375" s="16" t="n"/>
      <c r="Q375" s="16" t="n"/>
      <c r="R375" s="16" t="n"/>
      <c r="S375" s="16" t="n"/>
      <c r="T375" s="16" t="n"/>
      <c r="U375" s="16" t="n"/>
      <c r="V375" s="16" t="n"/>
      <c r="W375" s="16" t="n"/>
      <c r="X375" s="16" t="n"/>
      <c r="Y375" s="16" t="n"/>
      <c r="Z375" s="16" t="n"/>
      <c r="AA375" s="16" t="n"/>
      <c r="AB375" s="18" t="n"/>
      <c r="AC375" s="15">
        <f>IF(A375="","",IF(AB375=_xlfn.MAXIFS('Register'!$AB$6:$AB$505,'Register'!$A$6:$A$505,A375),"Y","N"))</f>
        <v/>
      </c>
      <c r="AD375" s="15">
        <f>IF(A375="","",COUNTIF('Register'!$A$6:$A$505,A375))</f>
        <v/>
      </c>
      <c r="AE375" s="17" t="n"/>
      <c r="AF375" s="16" t="n"/>
      <c r="AG375" s="17" t="n"/>
      <c r="AH375" s="17" t="n"/>
      <c r="AI375" s="19">
        <f>IF(AE375="","",AE375+IF(AF375="",TA_NOC,AF375))</f>
        <v/>
      </c>
      <c r="AJ375" s="15">
        <f>IF(AE375="","",IF(AG375="",DATADATE,AG375)-AE375)</f>
        <v/>
      </c>
      <c r="AK375" s="15">
        <f>IF(OR(AI375="",AG375&lt;&gt;""),"",IF(DATADATE&gt;AI375,"OVERDUE",""))</f>
        <v/>
      </c>
      <c r="AL375" s="15">
        <f>IF(AH375="","",IF(AH375&lt;DATADATE,"EXPIRED",IF(AH375-DATADATE&lt;=WARN_EXP,"EXPIRING","")))</f>
        <v/>
      </c>
      <c r="AM375" s="16" t="n"/>
      <c r="AN375" s="16" t="n"/>
      <c r="AO375" s="16" t="n"/>
      <c r="AP375" s="16" t="n"/>
    </row>
    <row r="376">
      <c r="A376" s="15">
        <f>IF(AA376="","",PROJ&amp;"-NOC-"&amp;Z376&amp;"-"&amp;TEXT(AA376,"0000"))</f>
        <v/>
      </c>
      <c r="B376" s="15">
        <f>IF(AA376="","",PROJ)</f>
        <v/>
      </c>
      <c r="C376" s="16" t="n"/>
      <c r="D376" s="16" t="n"/>
      <c r="E376" s="16" t="n"/>
      <c r="F376" s="16" t="n"/>
      <c r="G376" s="16" t="n"/>
      <c r="H376" s="16" t="n"/>
      <c r="I376" s="16" t="n"/>
      <c r="J376" s="16" t="n"/>
      <c r="K376" s="16" t="n"/>
      <c r="L376" s="16" t="n"/>
      <c r="M376" s="16" t="n"/>
      <c r="N376" s="16" t="n"/>
      <c r="O376" s="17" t="n"/>
      <c r="P376" s="16" t="n"/>
      <c r="Q376" s="16" t="n"/>
      <c r="R376" s="16" t="n"/>
      <c r="S376" s="16" t="n"/>
      <c r="T376" s="16" t="n"/>
      <c r="U376" s="16" t="n"/>
      <c r="V376" s="16" t="n"/>
      <c r="W376" s="16" t="n"/>
      <c r="X376" s="16" t="n"/>
      <c r="Y376" s="16" t="n"/>
      <c r="Z376" s="16" t="n"/>
      <c r="AA376" s="16" t="n"/>
      <c r="AB376" s="18" t="n"/>
      <c r="AC376" s="15">
        <f>IF(A376="","",IF(AB376=_xlfn.MAXIFS('Register'!$AB$6:$AB$505,'Register'!$A$6:$A$505,A376),"Y","N"))</f>
        <v/>
      </c>
      <c r="AD376" s="15">
        <f>IF(A376="","",COUNTIF('Register'!$A$6:$A$505,A376))</f>
        <v/>
      </c>
      <c r="AE376" s="17" t="n"/>
      <c r="AF376" s="16" t="n"/>
      <c r="AG376" s="17" t="n"/>
      <c r="AH376" s="17" t="n"/>
      <c r="AI376" s="19">
        <f>IF(AE376="","",AE376+IF(AF376="",TA_NOC,AF376))</f>
        <v/>
      </c>
      <c r="AJ376" s="15">
        <f>IF(AE376="","",IF(AG376="",DATADATE,AG376)-AE376)</f>
        <v/>
      </c>
      <c r="AK376" s="15">
        <f>IF(OR(AI376="",AG376&lt;&gt;""),"",IF(DATADATE&gt;AI376,"OVERDUE",""))</f>
        <v/>
      </c>
      <c r="AL376" s="15">
        <f>IF(AH376="","",IF(AH376&lt;DATADATE,"EXPIRED",IF(AH376-DATADATE&lt;=WARN_EXP,"EXPIRING","")))</f>
        <v/>
      </c>
      <c r="AM376" s="16" t="n"/>
      <c r="AN376" s="16" t="n"/>
      <c r="AO376" s="16" t="n"/>
      <c r="AP376" s="16" t="n"/>
    </row>
    <row r="377">
      <c r="A377" s="15">
        <f>IF(AA377="","",PROJ&amp;"-NOC-"&amp;Z377&amp;"-"&amp;TEXT(AA377,"0000"))</f>
        <v/>
      </c>
      <c r="B377" s="15">
        <f>IF(AA377="","",PROJ)</f>
        <v/>
      </c>
      <c r="C377" s="16" t="n"/>
      <c r="D377" s="16" t="n"/>
      <c r="E377" s="16" t="n"/>
      <c r="F377" s="16" t="n"/>
      <c r="G377" s="16" t="n"/>
      <c r="H377" s="16" t="n"/>
      <c r="I377" s="16" t="n"/>
      <c r="J377" s="16" t="n"/>
      <c r="K377" s="16" t="n"/>
      <c r="L377" s="16" t="n"/>
      <c r="M377" s="16" t="n"/>
      <c r="N377" s="16" t="n"/>
      <c r="O377" s="17" t="n"/>
      <c r="P377" s="16" t="n"/>
      <c r="Q377" s="16" t="n"/>
      <c r="R377" s="16" t="n"/>
      <c r="S377" s="16" t="n"/>
      <c r="T377" s="16" t="n"/>
      <c r="U377" s="16" t="n"/>
      <c r="V377" s="16" t="n"/>
      <c r="W377" s="16" t="n"/>
      <c r="X377" s="16" t="n"/>
      <c r="Y377" s="16" t="n"/>
      <c r="Z377" s="16" t="n"/>
      <c r="AA377" s="16" t="n"/>
      <c r="AB377" s="18" t="n"/>
      <c r="AC377" s="15">
        <f>IF(A377="","",IF(AB377=_xlfn.MAXIFS('Register'!$AB$6:$AB$505,'Register'!$A$6:$A$505,A377),"Y","N"))</f>
        <v/>
      </c>
      <c r="AD377" s="15">
        <f>IF(A377="","",COUNTIF('Register'!$A$6:$A$505,A377))</f>
        <v/>
      </c>
      <c r="AE377" s="17" t="n"/>
      <c r="AF377" s="16" t="n"/>
      <c r="AG377" s="17" t="n"/>
      <c r="AH377" s="17" t="n"/>
      <c r="AI377" s="19">
        <f>IF(AE377="","",AE377+IF(AF377="",TA_NOC,AF377))</f>
        <v/>
      </c>
      <c r="AJ377" s="15">
        <f>IF(AE377="","",IF(AG377="",DATADATE,AG377)-AE377)</f>
        <v/>
      </c>
      <c r="AK377" s="15">
        <f>IF(OR(AI377="",AG377&lt;&gt;""),"",IF(DATADATE&gt;AI377,"OVERDUE",""))</f>
        <v/>
      </c>
      <c r="AL377" s="15">
        <f>IF(AH377="","",IF(AH377&lt;DATADATE,"EXPIRED",IF(AH377-DATADATE&lt;=WARN_EXP,"EXPIRING","")))</f>
        <v/>
      </c>
      <c r="AM377" s="16" t="n"/>
      <c r="AN377" s="16" t="n"/>
      <c r="AO377" s="16" t="n"/>
      <c r="AP377" s="16" t="n"/>
    </row>
    <row r="378">
      <c r="A378" s="15">
        <f>IF(AA378="","",PROJ&amp;"-NOC-"&amp;Z378&amp;"-"&amp;TEXT(AA378,"0000"))</f>
        <v/>
      </c>
      <c r="B378" s="15">
        <f>IF(AA378="","",PROJ)</f>
        <v/>
      </c>
      <c r="C378" s="16" t="n"/>
      <c r="D378" s="16" t="n"/>
      <c r="E378" s="16" t="n"/>
      <c r="F378" s="16" t="n"/>
      <c r="G378" s="16" t="n"/>
      <c r="H378" s="16" t="n"/>
      <c r="I378" s="16" t="n"/>
      <c r="J378" s="16" t="n"/>
      <c r="K378" s="16" t="n"/>
      <c r="L378" s="16" t="n"/>
      <c r="M378" s="16" t="n"/>
      <c r="N378" s="16" t="n"/>
      <c r="O378" s="17" t="n"/>
      <c r="P378" s="16" t="n"/>
      <c r="Q378" s="16" t="n"/>
      <c r="R378" s="16" t="n"/>
      <c r="S378" s="16" t="n"/>
      <c r="T378" s="16" t="n"/>
      <c r="U378" s="16" t="n"/>
      <c r="V378" s="16" t="n"/>
      <c r="W378" s="16" t="n"/>
      <c r="X378" s="16" t="n"/>
      <c r="Y378" s="16" t="n"/>
      <c r="Z378" s="16" t="n"/>
      <c r="AA378" s="16" t="n"/>
      <c r="AB378" s="18" t="n"/>
      <c r="AC378" s="15">
        <f>IF(A378="","",IF(AB378=_xlfn.MAXIFS('Register'!$AB$6:$AB$505,'Register'!$A$6:$A$505,A378),"Y","N"))</f>
        <v/>
      </c>
      <c r="AD378" s="15">
        <f>IF(A378="","",COUNTIF('Register'!$A$6:$A$505,A378))</f>
        <v/>
      </c>
      <c r="AE378" s="17" t="n"/>
      <c r="AF378" s="16" t="n"/>
      <c r="AG378" s="17" t="n"/>
      <c r="AH378" s="17" t="n"/>
      <c r="AI378" s="19">
        <f>IF(AE378="","",AE378+IF(AF378="",TA_NOC,AF378))</f>
        <v/>
      </c>
      <c r="AJ378" s="15">
        <f>IF(AE378="","",IF(AG378="",DATADATE,AG378)-AE378)</f>
        <v/>
      </c>
      <c r="AK378" s="15">
        <f>IF(OR(AI378="",AG378&lt;&gt;""),"",IF(DATADATE&gt;AI378,"OVERDUE",""))</f>
        <v/>
      </c>
      <c r="AL378" s="15">
        <f>IF(AH378="","",IF(AH378&lt;DATADATE,"EXPIRED",IF(AH378-DATADATE&lt;=WARN_EXP,"EXPIRING","")))</f>
        <v/>
      </c>
      <c r="AM378" s="16" t="n"/>
      <c r="AN378" s="16" t="n"/>
      <c r="AO378" s="16" t="n"/>
      <c r="AP378" s="16" t="n"/>
    </row>
    <row r="379">
      <c r="A379" s="15">
        <f>IF(AA379="","",PROJ&amp;"-NOC-"&amp;Z379&amp;"-"&amp;TEXT(AA379,"0000"))</f>
        <v/>
      </c>
      <c r="B379" s="15">
        <f>IF(AA379="","",PROJ)</f>
        <v/>
      </c>
      <c r="C379" s="16" t="n"/>
      <c r="D379" s="16" t="n"/>
      <c r="E379" s="16" t="n"/>
      <c r="F379" s="16" t="n"/>
      <c r="G379" s="16" t="n"/>
      <c r="H379" s="16" t="n"/>
      <c r="I379" s="16" t="n"/>
      <c r="J379" s="16" t="n"/>
      <c r="K379" s="16" t="n"/>
      <c r="L379" s="16" t="n"/>
      <c r="M379" s="16" t="n"/>
      <c r="N379" s="16" t="n"/>
      <c r="O379" s="17" t="n"/>
      <c r="P379" s="16" t="n"/>
      <c r="Q379" s="16" t="n"/>
      <c r="R379" s="16" t="n"/>
      <c r="S379" s="16" t="n"/>
      <c r="T379" s="16" t="n"/>
      <c r="U379" s="16" t="n"/>
      <c r="V379" s="16" t="n"/>
      <c r="W379" s="16" t="n"/>
      <c r="X379" s="16" t="n"/>
      <c r="Y379" s="16" t="n"/>
      <c r="Z379" s="16" t="n"/>
      <c r="AA379" s="16" t="n"/>
      <c r="AB379" s="18" t="n"/>
      <c r="AC379" s="15">
        <f>IF(A379="","",IF(AB379=_xlfn.MAXIFS('Register'!$AB$6:$AB$505,'Register'!$A$6:$A$505,A379),"Y","N"))</f>
        <v/>
      </c>
      <c r="AD379" s="15">
        <f>IF(A379="","",COUNTIF('Register'!$A$6:$A$505,A379))</f>
        <v/>
      </c>
      <c r="AE379" s="17" t="n"/>
      <c r="AF379" s="16" t="n"/>
      <c r="AG379" s="17" t="n"/>
      <c r="AH379" s="17" t="n"/>
      <c r="AI379" s="19">
        <f>IF(AE379="","",AE379+IF(AF379="",TA_NOC,AF379))</f>
        <v/>
      </c>
      <c r="AJ379" s="15">
        <f>IF(AE379="","",IF(AG379="",DATADATE,AG379)-AE379)</f>
        <v/>
      </c>
      <c r="AK379" s="15">
        <f>IF(OR(AI379="",AG379&lt;&gt;""),"",IF(DATADATE&gt;AI379,"OVERDUE",""))</f>
        <v/>
      </c>
      <c r="AL379" s="15">
        <f>IF(AH379="","",IF(AH379&lt;DATADATE,"EXPIRED",IF(AH379-DATADATE&lt;=WARN_EXP,"EXPIRING","")))</f>
        <v/>
      </c>
      <c r="AM379" s="16" t="n"/>
      <c r="AN379" s="16" t="n"/>
      <c r="AO379" s="16" t="n"/>
      <c r="AP379" s="16" t="n"/>
    </row>
    <row r="380">
      <c r="A380" s="15">
        <f>IF(AA380="","",PROJ&amp;"-NOC-"&amp;Z380&amp;"-"&amp;TEXT(AA380,"0000"))</f>
        <v/>
      </c>
      <c r="B380" s="15">
        <f>IF(AA380="","",PROJ)</f>
        <v/>
      </c>
      <c r="C380" s="16" t="n"/>
      <c r="D380" s="16" t="n"/>
      <c r="E380" s="16" t="n"/>
      <c r="F380" s="16" t="n"/>
      <c r="G380" s="16" t="n"/>
      <c r="H380" s="16" t="n"/>
      <c r="I380" s="16" t="n"/>
      <c r="J380" s="16" t="n"/>
      <c r="K380" s="16" t="n"/>
      <c r="L380" s="16" t="n"/>
      <c r="M380" s="16" t="n"/>
      <c r="N380" s="16" t="n"/>
      <c r="O380" s="17" t="n"/>
      <c r="P380" s="16" t="n"/>
      <c r="Q380" s="16" t="n"/>
      <c r="R380" s="16" t="n"/>
      <c r="S380" s="16" t="n"/>
      <c r="T380" s="16" t="n"/>
      <c r="U380" s="16" t="n"/>
      <c r="V380" s="16" t="n"/>
      <c r="W380" s="16" t="n"/>
      <c r="X380" s="16" t="n"/>
      <c r="Y380" s="16" t="n"/>
      <c r="Z380" s="16" t="n"/>
      <c r="AA380" s="16" t="n"/>
      <c r="AB380" s="18" t="n"/>
      <c r="AC380" s="15">
        <f>IF(A380="","",IF(AB380=_xlfn.MAXIFS('Register'!$AB$6:$AB$505,'Register'!$A$6:$A$505,A380),"Y","N"))</f>
        <v/>
      </c>
      <c r="AD380" s="15">
        <f>IF(A380="","",COUNTIF('Register'!$A$6:$A$505,A380))</f>
        <v/>
      </c>
      <c r="AE380" s="17" t="n"/>
      <c r="AF380" s="16" t="n"/>
      <c r="AG380" s="17" t="n"/>
      <c r="AH380" s="17" t="n"/>
      <c r="AI380" s="19">
        <f>IF(AE380="","",AE380+IF(AF380="",TA_NOC,AF380))</f>
        <v/>
      </c>
      <c r="AJ380" s="15">
        <f>IF(AE380="","",IF(AG380="",DATADATE,AG380)-AE380)</f>
        <v/>
      </c>
      <c r="AK380" s="15">
        <f>IF(OR(AI380="",AG380&lt;&gt;""),"",IF(DATADATE&gt;AI380,"OVERDUE",""))</f>
        <v/>
      </c>
      <c r="AL380" s="15">
        <f>IF(AH380="","",IF(AH380&lt;DATADATE,"EXPIRED",IF(AH380-DATADATE&lt;=WARN_EXP,"EXPIRING","")))</f>
        <v/>
      </c>
      <c r="AM380" s="16" t="n"/>
      <c r="AN380" s="16" t="n"/>
      <c r="AO380" s="16" t="n"/>
      <c r="AP380" s="16" t="n"/>
    </row>
    <row r="381">
      <c r="A381" s="15">
        <f>IF(AA381="","",PROJ&amp;"-NOC-"&amp;Z381&amp;"-"&amp;TEXT(AA381,"0000"))</f>
        <v/>
      </c>
      <c r="B381" s="15">
        <f>IF(AA381="","",PROJ)</f>
        <v/>
      </c>
      <c r="C381" s="16" t="n"/>
      <c r="D381" s="16" t="n"/>
      <c r="E381" s="16" t="n"/>
      <c r="F381" s="16" t="n"/>
      <c r="G381" s="16" t="n"/>
      <c r="H381" s="16" t="n"/>
      <c r="I381" s="16" t="n"/>
      <c r="J381" s="16" t="n"/>
      <c r="K381" s="16" t="n"/>
      <c r="L381" s="16" t="n"/>
      <c r="M381" s="16" t="n"/>
      <c r="N381" s="16" t="n"/>
      <c r="O381" s="17" t="n"/>
      <c r="P381" s="16" t="n"/>
      <c r="Q381" s="16" t="n"/>
      <c r="R381" s="16" t="n"/>
      <c r="S381" s="16" t="n"/>
      <c r="T381" s="16" t="n"/>
      <c r="U381" s="16" t="n"/>
      <c r="V381" s="16" t="n"/>
      <c r="W381" s="16" t="n"/>
      <c r="X381" s="16" t="n"/>
      <c r="Y381" s="16" t="n"/>
      <c r="Z381" s="16" t="n"/>
      <c r="AA381" s="16" t="n"/>
      <c r="AB381" s="18" t="n"/>
      <c r="AC381" s="15">
        <f>IF(A381="","",IF(AB381=_xlfn.MAXIFS('Register'!$AB$6:$AB$505,'Register'!$A$6:$A$505,A381),"Y","N"))</f>
        <v/>
      </c>
      <c r="AD381" s="15">
        <f>IF(A381="","",COUNTIF('Register'!$A$6:$A$505,A381))</f>
        <v/>
      </c>
      <c r="AE381" s="17" t="n"/>
      <c r="AF381" s="16" t="n"/>
      <c r="AG381" s="17" t="n"/>
      <c r="AH381" s="17" t="n"/>
      <c r="AI381" s="19">
        <f>IF(AE381="","",AE381+IF(AF381="",TA_NOC,AF381))</f>
        <v/>
      </c>
      <c r="AJ381" s="15">
        <f>IF(AE381="","",IF(AG381="",DATADATE,AG381)-AE381)</f>
        <v/>
      </c>
      <c r="AK381" s="15">
        <f>IF(OR(AI381="",AG381&lt;&gt;""),"",IF(DATADATE&gt;AI381,"OVERDUE",""))</f>
        <v/>
      </c>
      <c r="AL381" s="15">
        <f>IF(AH381="","",IF(AH381&lt;DATADATE,"EXPIRED",IF(AH381-DATADATE&lt;=WARN_EXP,"EXPIRING","")))</f>
        <v/>
      </c>
      <c r="AM381" s="16" t="n"/>
      <c r="AN381" s="16" t="n"/>
      <c r="AO381" s="16" t="n"/>
      <c r="AP381" s="16" t="n"/>
    </row>
    <row r="382">
      <c r="A382" s="15">
        <f>IF(AA382="","",PROJ&amp;"-NOC-"&amp;Z382&amp;"-"&amp;TEXT(AA382,"0000"))</f>
        <v/>
      </c>
      <c r="B382" s="15">
        <f>IF(AA382="","",PROJ)</f>
        <v/>
      </c>
      <c r="C382" s="16" t="n"/>
      <c r="D382" s="16" t="n"/>
      <c r="E382" s="16" t="n"/>
      <c r="F382" s="16" t="n"/>
      <c r="G382" s="16" t="n"/>
      <c r="H382" s="16" t="n"/>
      <c r="I382" s="16" t="n"/>
      <c r="J382" s="16" t="n"/>
      <c r="K382" s="16" t="n"/>
      <c r="L382" s="16" t="n"/>
      <c r="M382" s="16" t="n"/>
      <c r="N382" s="16" t="n"/>
      <c r="O382" s="17" t="n"/>
      <c r="P382" s="16" t="n"/>
      <c r="Q382" s="16" t="n"/>
      <c r="R382" s="16" t="n"/>
      <c r="S382" s="16" t="n"/>
      <c r="T382" s="16" t="n"/>
      <c r="U382" s="16" t="n"/>
      <c r="V382" s="16" t="n"/>
      <c r="W382" s="16" t="n"/>
      <c r="X382" s="16" t="n"/>
      <c r="Y382" s="16" t="n"/>
      <c r="Z382" s="16" t="n"/>
      <c r="AA382" s="16" t="n"/>
      <c r="AB382" s="18" t="n"/>
      <c r="AC382" s="15">
        <f>IF(A382="","",IF(AB382=_xlfn.MAXIFS('Register'!$AB$6:$AB$505,'Register'!$A$6:$A$505,A382),"Y","N"))</f>
        <v/>
      </c>
      <c r="AD382" s="15">
        <f>IF(A382="","",COUNTIF('Register'!$A$6:$A$505,A382))</f>
        <v/>
      </c>
      <c r="AE382" s="17" t="n"/>
      <c r="AF382" s="16" t="n"/>
      <c r="AG382" s="17" t="n"/>
      <c r="AH382" s="17" t="n"/>
      <c r="AI382" s="19">
        <f>IF(AE382="","",AE382+IF(AF382="",TA_NOC,AF382))</f>
        <v/>
      </c>
      <c r="AJ382" s="15">
        <f>IF(AE382="","",IF(AG382="",DATADATE,AG382)-AE382)</f>
        <v/>
      </c>
      <c r="AK382" s="15">
        <f>IF(OR(AI382="",AG382&lt;&gt;""),"",IF(DATADATE&gt;AI382,"OVERDUE",""))</f>
        <v/>
      </c>
      <c r="AL382" s="15">
        <f>IF(AH382="","",IF(AH382&lt;DATADATE,"EXPIRED",IF(AH382-DATADATE&lt;=WARN_EXP,"EXPIRING","")))</f>
        <v/>
      </c>
      <c r="AM382" s="16" t="n"/>
      <c r="AN382" s="16" t="n"/>
      <c r="AO382" s="16" t="n"/>
      <c r="AP382" s="16" t="n"/>
    </row>
    <row r="383">
      <c r="A383" s="15">
        <f>IF(AA383="","",PROJ&amp;"-NOC-"&amp;Z383&amp;"-"&amp;TEXT(AA383,"0000"))</f>
        <v/>
      </c>
      <c r="B383" s="15">
        <f>IF(AA383="","",PROJ)</f>
        <v/>
      </c>
      <c r="C383" s="16" t="n"/>
      <c r="D383" s="16" t="n"/>
      <c r="E383" s="16" t="n"/>
      <c r="F383" s="16" t="n"/>
      <c r="G383" s="16" t="n"/>
      <c r="H383" s="16" t="n"/>
      <c r="I383" s="16" t="n"/>
      <c r="J383" s="16" t="n"/>
      <c r="K383" s="16" t="n"/>
      <c r="L383" s="16" t="n"/>
      <c r="M383" s="16" t="n"/>
      <c r="N383" s="16" t="n"/>
      <c r="O383" s="17" t="n"/>
      <c r="P383" s="16" t="n"/>
      <c r="Q383" s="16" t="n"/>
      <c r="R383" s="16" t="n"/>
      <c r="S383" s="16" t="n"/>
      <c r="T383" s="16" t="n"/>
      <c r="U383" s="16" t="n"/>
      <c r="V383" s="16" t="n"/>
      <c r="W383" s="16" t="n"/>
      <c r="X383" s="16" t="n"/>
      <c r="Y383" s="16" t="n"/>
      <c r="Z383" s="16" t="n"/>
      <c r="AA383" s="16" t="n"/>
      <c r="AB383" s="18" t="n"/>
      <c r="AC383" s="15">
        <f>IF(A383="","",IF(AB383=_xlfn.MAXIFS('Register'!$AB$6:$AB$505,'Register'!$A$6:$A$505,A383),"Y","N"))</f>
        <v/>
      </c>
      <c r="AD383" s="15">
        <f>IF(A383="","",COUNTIF('Register'!$A$6:$A$505,A383))</f>
        <v/>
      </c>
      <c r="AE383" s="17" t="n"/>
      <c r="AF383" s="16" t="n"/>
      <c r="AG383" s="17" t="n"/>
      <c r="AH383" s="17" t="n"/>
      <c r="AI383" s="19">
        <f>IF(AE383="","",AE383+IF(AF383="",TA_NOC,AF383))</f>
        <v/>
      </c>
      <c r="AJ383" s="15">
        <f>IF(AE383="","",IF(AG383="",DATADATE,AG383)-AE383)</f>
        <v/>
      </c>
      <c r="AK383" s="15">
        <f>IF(OR(AI383="",AG383&lt;&gt;""),"",IF(DATADATE&gt;AI383,"OVERDUE",""))</f>
        <v/>
      </c>
      <c r="AL383" s="15">
        <f>IF(AH383="","",IF(AH383&lt;DATADATE,"EXPIRED",IF(AH383-DATADATE&lt;=WARN_EXP,"EXPIRING","")))</f>
        <v/>
      </c>
      <c r="AM383" s="16" t="n"/>
      <c r="AN383" s="16" t="n"/>
      <c r="AO383" s="16" t="n"/>
      <c r="AP383" s="16" t="n"/>
    </row>
    <row r="384">
      <c r="A384" s="15">
        <f>IF(AA384="","",PROJ&amp;"-NOC-"&amp;Z384&amp;"-"&amp;TEXT(AA384,"0000"))</f>
        <v/>
      </c>
      <c r="B384" s="15">
        <f>IF(AA384="","",PROJ)</f>
        <v/>
      </c>
      <c r="C384" s="16" t="n"/>
      <c r="D384" s="16" t="n"/>
      <c r="E384" s="16" t="n"/>
      <c r="F384" s="16" t="n"/>
      <c r="G384" s="16" t="n"/>
      <c r="H384" s="16" t="n"/>
      <c r="I384" s="16" t="n"/>
      <c r="J384" s="16" t="n"/>
      <c r="K384" s="16" t="n"/>
      <c r="L384" s="16" t="n"/>
      <c r="M384" s="16" t="n"/>
      <c r="N384" s="16" t="n"/>
      <c r="O384" s="17" t="n"/>
      <c r="P384" s="16" t="n"/>
      <c r="Q384" s="16" t="n"/>
      <c r="R384" s="16" t="n"/>
      <c r="S384" s="16" t="n"/>
      <c r="T384" s="16" t="n"/>
      <c r="U384" s="16" t="n"/>
      <c r="V384" s="16" t="n"/>
      <c r="W384" s="16" t="n"/>
      <c r="X384" s="16" t="n"/>
      <c r="Y384" s="16" t="n"/>
      <c r="Z384" s="16" t="n"/>
      <c r="AA384" s="16" t="n"/>
      <c r="AB384" s="18" t="n"/>
      <c r="AC384" s="15">
        <f>IF(A384="","",IF(AB384=_xlfn.MAXIFS('Register'!$AB$6:$AB$505,'Register'!$A$6:$A$505,A384),"Y","N"))</f>
        <v/>
      </c>
      <c r="AD384" s="15">
        <f>IF(A384="","",COUNTIF('Register'!$A$6:$A$505,A384))</f>
        <v/>
      </c>
      <c r="AE384" s="17" t="n"/>
      <c r="AF384" s="16" t="n"/>
      <c r="AG384" s="17" t="n"/>
      <c r="AH384" s="17" t="n"/>
      <c r="AI384" s="19">
        <f>IF(AE384="","",AE384+IF(AF384="",TA_NOC,AF384))</f>
        <v/>
      </c>
      <c r="AJ384" s="15">
        <f>IF(AE384="","",IF(AG384="",DATADATE,AG384)-AE384)</f>
        <v/>
      </c>
      <c r="AK384" s="15">
        <f>IF(OR(AI384="",AG384&lt;&gt;""),"",IF(DATADATE&gt;AI384,"OVERDUE",""))</f>
        <v/>
      </c>
      <c r="AL384" s="15">
        <f>IF(AH384="","",IF(AH384&lt;DATADATE,"EXPIRED",IF(AH384-DATADATE&lt;=WARN_EXP,"EXPIRING","")))</f>
        <v/>
      </c>
      <c r="AM384" s="16" t="n"/>
      <c r="AN384" s="16" t="n"/>
      <c r="AO384" s="16" t="n"/>
      <c r="AP384" s="16" t="n"/>
    </row>
    <row r="385">
      <c r="A385" s="15">
        <f>IF(AA385="","",PROJ&amp;"-NOC-"&amp;Z385&amp;"-"&amp;TEXT(AA385,"0000"))</f>
        <v/>
      </c>
      <c r="B385" s="15">
        <f>IF(AA385="","",PROJ)</f>
        <v/>
      </c>
      <c r="C385" s="16" t="n"/>
      <c r="D385" s="16" t="n"/>
      <c r="E385" s="16" t="n"/>
      <c r="F385" s="16" t="n"/>
      <c r="G385" s="16" t="n"/>
      <c r="H385" s="16" t="n"/>
      <c r="I385" s="16" t="n"/>
      <c r="J385" s="16" t="n"/>
      <c r="K385" s="16" t="n"/>
      <c r="L385" s="16" t="n"/>
      <c r="M385" s="16" t="n"/>
      <c r="N385" s="16" t="n"/>
      <c r="O385" s="17" t="n"/>
      <c r="P385" s="16" t="n"/>
      <c r="Q385" s="16" t="n"/>
      <c r="R385" s="16" t="n"/>
      <c r="S385" s="16" t="n"/>
      <c r="T385" s="16" t="n"/>
      <c r="U385" s="16" t="n"/>
      <c r="V385" s="16" t="n"/>
      <c r="W385" s="16" t="n"/>
      <c r="X385" s="16" t="n"/>
      <c r="Y385" s="16" t="n"/>
      <c r="Z385" s="16" t="n"/>
      <c r="AA385" s="16" t="n"/>
      <c r="AB385" s="18" t="n"/>
      <c r="AC385" s="15">
        <f>IF(A385="","",IF(AB385=_xlfn.MAXIFS('Register'!$AB$6:$AB$505,'Register'!$A$6:$A$505,A385),"Y","N"))</f>
        <v/>
      </c>
      <c r="AD385" s="15">
        <f>IF(A385="","",COUNTIF('Register'!$A$6:$A$505,A385))</f>
        <v/>
      </c>
      <c r="AE385" s="17" t="n"/>
      <c r="AF385" s="16" t="n"/>
      <c r="AG385" s="17" t="n"/>
      <c r="AH385" s="17" t="n"/>
      <c r="AI385" s="19">
        <f>IF(AE385="","",AE385+IF(AF385="",TA_NOC,AF385))</f>
        <v/>
      </c>
      <c r="AJ385" s="15">
        <f>IF(AE385="","",IF(AG385="",DATADATE,AG385)-AE385)</f>
        <v/>
      </c>
      <c r="AK385" s="15">
        <f>IF(OR(AI385="",AG385&lt;&gt;""),"",IF(DATADATE&gt;AI385,"OVERDUE",""))</f>
        <v/>
      </c>
      <c r="AL385" s="15">
        <f>IF(AH385="","",IF(AH385&lt;DATADATE,"EXPIRED",IF(AH385-DATADATE&lt;=WARN_EXP,"EXPIRING","")))</f>
        <v/>
      </c>
      <c r="AM385" s="16" t="n"/>
      <c r="AN385" s="16" t="n"/>
      <c r="AO385" s="16" t="n"/>
      <c r="AP385" s="16" t="n"/>
    </row>
    <row r="386">
      <c r="A386" s="15">
        <f>IF(AA386="","",PROJ&amp;"-NOC-"&amp;Z386&amp;"-"&amp;TEXT(AA386,"0000"))</f>
        <v/>
      </c>
      <c r="B386" s="15">
        <f>IF(AA386="","",PROJ)</f>
        <v/>
      </c>
      <c r="C386" s="16" t="n"/>
      <c r="D386" s="16" t="n"/>
      <c r="E386" s="16" t="n"/>
      <c r="F386" s="16" t="n"/>
      <c r="G386" s="16" t="n"/>
      <c r="H386" s="16" t="n"/>
      <c r="I386" s="16" t="n"/>
      <c r="J386" s="16" t="n"/>
      <c r="K386" s="16" t="n"/>
      <c r="L386" s="16" t="n"/>
      <c r="M386" s="16" t="n"/>
      <c r="N386" s="16" t="n"/>
      <c r="O386" s="17" t="n"/>
      <c r="P386" s="16" t="n"/>
      <c r="Q386" s="16" t="n"/>
      <c r="R386" s="16" t="n"/>
      <c r="S386" s="16" t="n"/>
      <c r="T386" s="16" t="n"/>
      <c r="U386" s="16" t="n"/>
      <c r="V386" s="16" t="n"/>
      <c r="W386" s="16" t="n"/>
      <c r="X386" s="16" t="n"/>
      <c r="Y386" s="16" t="n"/>
      <c r="Z386" s="16" t="n"/>
      <c r="AA386" s="16" t="n"/>
      <c r="AB386" s="18" t="n"/>
      <c r="AC386" s="15">
        <f>IF(A386="","",IF(AB386=_xlfn.MAXIFS('Register'!$AB$6:$AB$505,'Register'!$A$6:$A$505,A386),"Y","N"))</f>
        <v/>
      </c>
      <c r="AD386" s="15">
        <f>IF(A386="","",COUNTIF('Register'!$A$6:$A$505,A386))</f>
        <v/>
      </c>
      <c r="AE386" s="17" t="n"/>
      <c r="AF386" s="16" t="n"/>
      <c r="AG386" s="17" t="n"/>
      <c r="AH386" s="17" t="n"/>
      <c r="AI386" s="19">
        <f>IF(AE386="","",AE386+IF(AF386="",TA_NOC,AF386))</f>
        <v/>
      </c>
      <c r="AJ386" s="15">
        <f>IF(AE386="","",IF(AG386="",DATADATE,AG386)-AE386)</f>
        <v/>
      </c>
      <c r="AK386" s="15">
        <f>IF(OR(AI386="",AG386&lt;&gt;""),"",IF(DATADATE&gt;AI386,"OVERDUE",""))</f>
        <v/>
      </c>
      <c r="AL386" s="15">
        <f>IF(AH386="","",IF(AH386&lt;DATADATE,"EXPIRED",IF(AH386-DATADATE&lt;=WARN_EXP,"EXPIRING","")))</f>
        <v/>
      </c>
      <c r="AM386" s="16" t="n"/>
      <c r="AN386" s="16" t="n"/>
      <c r="AO386" s="16" t="n"/>
      <c r="AP386" s="16" t="n"/>
    </row>
    <row r="387">
      <c r="A387" s="15">
        <f>IF(AA387="","",PROJ&amp;"-NOC-"&amp;Z387&amp;"-"&amp;TEXT(AA387,"0000"))</f>
        <v/>
      </c>
      <c r="B387" s="15">
        <f>IF(AA387="","",PROJ)</f>
        <v/>
      </c>
      <c r="C387" s="16" t="n"/>
      <c r="D387" s="16" t="n"/>
      <c r="E387" s="16" t="n"/>
      <c r="F387" s="16" t="n"/>
      <c r="G387" s="16" t="n"/>
      <c r="H387" s="16" t="n"/>
      <c r="I387" s="16" t="n"/>
      <c r="J387" s="16" t="n"/>
      <c r="K387" s="16" t="n"/>
      <c r="L387" s="16" t="n"/>
      <c r="M387" s="16" t="n"/>
      <c r="N387" s="16" t="n"/>
      <c r="O387" s="17" t="n"/>
      <c r="P387" s="16" t="n"/>
      <c r="Q387" s="16" t="n"/>
      <c r="R387" s="16" t="n"/>
      <c r="S387" s="16" t="n"/>
      <c r="T387" s="16" t="n"/>
      <c r="U387" s="16" t="n"/>
      <c r="V387" s="16" t="n"/>
      <c r="W387" s="16" t="n"/>
      <c r="X387" s="16" t="n"/>
      <c r="Y387" s="16" t="n"/>
      <c r="Z387" s="16" t="n"/>
      <c r="AA387" s="16" t="n"/>
      <c r="AB387" s="18" t="n"/>
      <c r="AC387" s="15">
        <f>IF(A387="","",IF(AB387=_xlfn.MAXIFS('Register'!$AB$6:$AB$505,'Register'!$A$6:$A$505,A387),"Y","N"))</f>
        <v/>
      </c>
      <c r="AD387" s="15">
        <f>IF(A387="","",COUNTIF('Register'!$A$6:$A$505,A387))</f>
        <v/>
      </c>
      <c r="AE387" s="17" t="n"/>
      <c r="AF387" s="16" t="n"/>
      <c r="AG387" s="17" t="n"/>
      <c r="AH387" s="17" t="n"/>
      <c r="AI387" s="19">
        <f>IF(AE387="","",AE387+IF(AF387="",TA_NOC,AF387))</f>
        <v/>
      </c>
      <c r="AJ387" s="15">
        <f>IF(AE387="","",IF(AG387="",DATADATE,AG387)-AE387)</f>
        <v/>
      </c>
      <c r="AK387" s="15">
        <f>IF(OR(AI387="",AG387&lt;&gt;""),"",IF(DATADATE&gt;AI387,"OVERDUE",""))</f>
        <v/>
      </c>
      <c r="AL387" s="15">
        <f>IF(AH387="","",IF(AH387&lt;DATADATE,"EXPIRED",IF(AH387-DATADATE&lt;=WARN_EXP,"EXPIRING","")))</f>
        <v/>
      </c>
      <c r="AM387" s="16" t="n"/>
      <c r="AN387" s="16" t="n"/>
      <c r="AO387" s="16" t="n"/>
      <c r="AP387" s="16" t="n"/>
    </row>
    <row r="388">
      <c r="A388" s="15">
        <f>IF(AA388="","",PROJ&amp;"-NOC-"&amp;Z388&amp;"-"&amp;TEXT(AA388,"0000"))</f>
        <v/>
      </c>
      <c r="B388" s="15">
        <f>IF(AA388="","",PROJ)</f>
        <v/>
      </c>
      <c r="C388" s="16" t="n"/>
      <c r="D388" s="16" t="n"/>
      <c r="E388" s="16" t="n"/>
      <c r="F388" s="16" t="n"/>
      <c r="G388" s="16" t="n"/>
      <c r="H388" s="16" t="n"/>
      <c r="I388" s="16" t="n"/>
      <c r="J388" s="16" t="n"/>
      <c r="K388" s="16" t="n"/>
      <c r="L388" s="16" t="n"/>
      <c r="M388" s="16" t="n"/>
      <c r="N388" s="16" t="n"/>
      <c r="O388" s="17" t="n"/>
      <c r="P388" s="16" t="n"/>
      <c r="Q388" s="16" t="n"/>
      <c r="R388" s="16" t="n"/>
      <c r="S388" s="16" t="n"/>
      <c r="T388" s="16" t="n"/>
      <c r="U388" s="16" t="n"/>
      <c r="V388" s="16" t="n"/>
      <c r="W388" s="16" t="n"/>
      <c r="X388" s="16" t="n"/>
      <c r="Y388" s="16" t="n"/>
      <c r="Z388" s="16" t="n"/>
      <c r="AA388" s="16" t="n"/>
      <c r="AB388" s="18" t="n"/>
      <c r="AC388" s="15">
        <f>IF(A388="","",IF(AB388=_xlfn.MAXIFS('Register'!$AB$6:$AB$505,'Register'!$A$6:$A$505,A388),"Y","N"))</f>
        <v/>
      </c>
      <c r="AD388" s="15">
        <f>IF(A388="","",COUNTIF('Register'!$A$6:$A$505,A388))</f>
        <v/>
      </c>
      <c r="AE388" s="17" t="n"/>
      <c r="AF388" s="16" t="n"/>
      <c r="AG388" s="17" t="n"/>
      <c r="AH388" s="17" t="n"/>
      <c r="AI388" s="19">
        <f>IF(AE388="","",AE388+IF(AF388="",TA_NOC,AF388))</f>
        <v/>
      </c>
      <c r="AJ388" s="15">
        <f>IF(AE388="","",IF(AG388="",DATADATE,AG388)-AE388)</f>
        <v/>
      </c>
      <c r="AK388" s="15">
        <f>IF(OR(AI388="",AG388&lt;&gt;""),"",IF(DATADATE&gt;AI388,"OVERDUE",""))</f>
        <v/>
      </c>
      <c r="AL388" s="15">
        <f>IF(AH388="","",IF(AH388&lt;DATADATE,"EXPIRED",IF(AH388-DATADATE&lt;=WARN_EXP,"EXPIRING","")))</f>
        <v/>
      </c>
      <c r="AM388" s="16" t="n"/>
      <c r="AN388" s="16" t="n"/>
      <c r="AO388" s="16" t="n"/>
      <c r="AP388" s="16" t="n"/>
    </row>
    <row r="389">
      <c r="A389" s="15">
        <f>IF(AA389="","",PROJ&amp;"-NOC-"&amp;Z389&amp;"-"&amp;TEXT(AA389,"0000"))</f>
        <v/>
      </c>
      <c r="B389" s="15">
        <f>IF(AA389="","",PROJ)</f>
        <v/>
      </c>
      <c r="C389" s="16" t="n"/>
      <c r="D389" s="16" t="n"/>
      <c r="E389" s="16" t="n"/>
      <c r="F389" s="16" t="n"/>
      <c r="G389" s="16" t="n"/>
      <c r="H389" s="16" t="n"/>
      <c r="I389" s="16" t="n"/>
      <c r="J389" s="16" t="n"/>
      <c r="K389" s="16" t="n"/>
      <c r="L389" s="16" t="n"/>
      <c r="M389" s="16" t="n"/>
      <c r="N389" s="16" t="n"/>
      <c r="O389" s="17" t="n"/>
      <c r="P389" s="16" t="n"/>
      <c r="Q389" s="16" t="n"/>
      <c r="R389" s="16" t="n"/>
      <c r="S389" s="16" t="n"/>
      <c r="T389" s="16" t="n"/>
      <c r="U389" s="16" t="n"/>
      <c r="V389" s="16" t="n"/>
      <c r="W389" s="16" t="n"/>
      <c r="X389" s="16" t="n"/>
      <c r="Y389" s="16" t="n"/>
      <c r="Z389" s="16" t="n"/>
      <c r="AA389" s="16" t="n"/>
      <c r="AB389" s="18" t="n"/>
      <c r="AC389" s="15">
        <f>IF(A389="","",IF(AB389=_xlfn.MAXIFS('Register'!$AB$6:$AB$505,'Register'!$A$6:$A$505,A389),"Y","N"))</f>
        <v/>
      </c>
      <c r="AD389" s="15">
        <f>IF(A389="","",COUNTIF('Register'!$A$6:$A$505,A389))</f>
        <v/>
      </c>
      <c r="AE389" s="17" t="n"/>
      <c r="AF389" s="16" t="n"/>
      <c r="AG389" s="17" t="n"/>
      <c r="AH389" s="17" t="n"/>
      <c r="AI389" s="19">
        <f>IF(AE389="","",AE389+IF(AF389="",TA_NOC,AF389))</f>
        <v/>
      </c>
      <c r="AJ389" s="15">
        <f>IF(AE389="","",IF(AG389="",DATADATE,AG389)-AE389)</f>
        <v/>
      </c>
      <c r="AK389" s="15">
        <f>IF(OR(AI389="",AG389&lt;&gt;""),"",IF(DATADATE&gt;AI389,"OVERDUE",""))</f>
        <v/>
      </c>
      <c r="AL389" s="15">
        <f>IF(AH389="","",IF(AH389&lt;DATADATE,"EXPIRED",IF(AH389-DATADATE&lt;=WARN_EXP,"EXPIRING","")))</f>
        <v/>
      </c>
      <c r="AM389" s="16" t="n"/>
      <c r="AN389" s="16" t="n"/>
      <c r="AO389" s="16" t="n"/>
      <c r="AP389" s="16" t="n"/>
    </row>
    <row r="390">
      <c r="A390" s="15">
        <f>IF(AA390="","",PROJ&amp;"-NOC-"&amp;Z390&amp;"-"&amp;TEXT(AA390,"0000"))</f>
        <v/>
      </c>
      <c r="B390" s="15">
        <f>IF(AA390="","",PROJ)</f>
        <v/>
      </c>
      <c r="C390" s="16" t="n"/>
      <c r="D390" s="16" t="n"/>
      <c r="E390" s="16" t="n"/>
      <c r="F390" s="16" t="n"/>
      <c r="G390" s="16" t="n"/>
      <c r="H390" s="16" t="n"/>
      <c r="I390" s="16" t="n"/>
      <c r="J390" s="16" t="n"/>
      <c r="K390" s="16" t="n"/>
      <c r="L390" s="16" t="n"/>
      <c r="M390" s="16" t="n"/>
      <c r="N390" s="16" t="n"/>
      <c r="O390" s="17" t="n"/>
      <c r="P390" s="16" t="n"/>
      <c r="Q390" s="16" t="n"/>
      <c r="R390" s="16" t="n"/>
      <c r="S390" s="16" t="n"/>
      <c r="T390" s="16" t="n"/>
      <c r="U390" s="16" t="n"/>
      <c r="V390" s="16" t="n"/>
      <c r="W390" s="16" t="n"/>
      <c r="X390" s="16" t="n"/>
      <c r="Y390" s="16" t="n"/>
      <c r="Z390" s="16" t="n"/>
      <c r="AA390" s="16" t="n"/>
      <c r="AB390" s="18" t="n"/>
      <c r="AC390" s="15">
        <f>IF(A390="","",IF(AB390=_xlfn.MAXIFS('Register'!$AB$6:$AB$505,'Register'!$A$6:$A$505,A390),"Y","N"))</f>
        <v/>
      </c>
      <c r="AD390" s="15">
        <f>IF(A390="","",COUNTIF('Register'!$A$6:$A$505,A390))</f>
        <v/>
      </c>
      <c r="AE390" s="17" t="n"/>
      <c r="AF390" s="16" t="n"/>
      <c r="AG390" s="17" t="n"/>
      <c r="AH390" s="17" t="n"/>
      <c r="AI390" s="19">
        <f>IF(AE390="","",AE390+IF(AF390="",TA_NOC,AF390))</f>
        <v/>
      </c>
      <c r="AJ390" s="15">
        <f>IF(AE390="","",IF(AG390="",DATADATE,AG390)-AE390)</f>
        <v/>
      </c>
      <c r="AK390" s="15">
        <f>IF(OR(AI390="",AG390&lt;&gt;""),"",IF(DATADATE&gt;AI390,"OVERDUE",""))</f>
        <v/>
      </c>
      <c r="AL390" s="15">
        <f>IF(AH390="","",IF(AH390&lt;DATADATE,"EXPIRED",IF(AH390-DATADATE&lt;=WARN_EXP,"EXPIRING","")))</f>
        <v/>
      </c>
      <c r="AM390" s="16" t="n"/>
      <c r="AN390" s="16" t="n"/>
      <c r="AO390" s="16" t="n"/>
      <c r="AP390" s="16" t="n"/>
    </row>
    <row r="391">
      <c r="A391" s="15">
        <f>IF(AA391="","",PROJ&amp;"-NOC-"&amp;Z391&amp;"-"&amp;TEXT(AA391,"0000"))</f>
        <v/>
      </c>
      <c r="B391" s="15">
        <f>IF(AA391="","",PROJ)</f>
        <v/>
      </c>
      <c r="C391" s="16" t="n"/>
      <c r="D391" s="16" t="n"/>
      <c r="E391" s="16" t="n"/>
      <c r="F391" s="16" t="n"/>
      <c r="G391" s="16" t="n"/>
      <c r="H391" s="16" t="n"/>
      <c r="I391" s="16" t="n"/>
      <c r="J391" s="16" t="n"/>
      <c r="K391" s="16" t="n"/>
      <c r="L391" s="16" t="n"/>
      <c r="M391" s="16" t="n"/>
      <c r="N391" s="16" t="n"/>
      <c r="O391" s="17" t="n"/>
      <c r="P391" s="16" t="n"/>
      <c r="Q391" s="16" t="n"/>
      <c r="R391" s="16" t="n"/>
      <c r="S391" s="16" t="n"/>
      <c r="T391" s="16" t="n"/>
      <c r="U391" s="16" t="n"/>
      <c r="V391" s="16" t="n"/>
      <c r="W391" s="16" t="n"/>
      <c r="X391" s="16" t="n"/>
      <c r="Y391" s="16" t="n"/>
      <c r="Z391" s="16" t="n"/>
      <c r="AA391" s="16" t="n"/>
      <c r="AB391" s="18" t="n"/>
      <c r="AC391" s="15">
        <f>IF(A391="","",IF(AB391=_xlfn.MAXIFS('Register'!$AB$6:$AB$505,'Register'!$A$6:$A$505,A391),"Y","N"))</f>
        <v/>
      </c>
      <c r="AD391" s="15">
        <f>IF(A391="","",COUNTIF('Register'!$A$6:$A$505,A391))</f>
        <v/>
      </c>
      <c r="AE391" s="17" t="n"/>
      <c r="AF391" s="16" t="n"/>
      <c r="AG391" s="17" t="n"/>
      <c r="AH391" s="17" t="n"/>
      <c r="AI391" s="19">
        <f>IF(AE391="","",AE391+IF(AF391="",TA_NOC,AF391))</f>
        <v/>
      </c>
      <c r="AJ391" s="15">
        <f>IF(AE391="","",IF(AG391="",DATADATE,AG391)-AE391)</f>
        <v/>
      </c>
      <c r="AK391" s="15">
        <f>IF(OR(AI391="",AG391&lt;&gt;""),"",IF(DATADATE&gt;AI391,"OVERDUE",""))</f>
        <v/>
      </c>
      <c r="AL391" s="15">
        <f>IF(AH391="","",IF(AH391&lt;DATADATE,"EXPIRED",IF(AH391-DATADATE&lt;=WARN_EXP,"EXPIRING","")))</f>
        <v/>
      </c>
      <c r="AM391" s="16" t="n"/>
      <c r="AN391" s="16" t="n"/>
      <c r="AO391" s="16" t="n"/>
      <c r="AP391" s="16" t="n"/>
    </row>
    <row r="392">
      <c r="A392" s="15">
        <f>IF(AA392="","",PROJ&amp;"-NOC-"&amp;Z392&amp;"-"&amp;TEXT(AA392,"0000"))</f>
        <v/>
      </c>
      <c r="B392" s="15">
        <f>IF(AA392="","",PROJ)</f>
        <v/>
      </c>
      <c r="C392" s="16" t="n"/>
      <c r="D392" s="16" t="n"/>
      <c r="E392" s="16" t="n"/>
      <c r="F392" s="16" t="n"/>
      <c r="G392" s="16" t="n"/>
      <c r="H392" s="16" t="n"/>
      <c r="I392" s="16" t="n"/>
      <c r="J392" s="16" t="n"/>
      <c r="K392" s="16" t="n"/>
      <c r="L392" s="16" t="n"/>
      <c r="M392" s="16" t="n"/>
      <c r="N392" s="16" t="n"/>
      <c r="O392" s="17" t="n"/>
      <c r="P392" s="16" t="n"/>
      <c r="Q392" s="16" t="n"/>
      <c r="R392" s="16" t="n"/>
      <c r="S392" s="16" t="n"/>
      <c r="T392" s="16" t="n"/>
      <c r="U392" s="16" t="n"/>
      <c r="V392" s="16" t="n"/>
      <c r="W392" s="16" t="n"/>
      <c r="X392" s="16" t="n"/>
      <c r="Y392" s="16" t="n"/>
      <c r="Z392" s="16" t="n"/>
      <c r="AA392" s="16" t="n"/>
      <c r="AB392" s="18" t="n"/>
      <c r="AC392" s="15">
        <f>IF(A392="","",IF(AB392=_xlfn.MAXIFS('Register'!$AB$6:$AB$505,'Register'!$A$6:$A$505,A392),"Y","N"))</f>
        <v/>
      </c>
      <c r="AD392" s="15">
        <f>IF(A392="","",COUNTIF('Register'!$A$6:$A$505,A392))</f>
        <v/>
      </c>
      <c r="AE392" s="17" t="n"/>
      <c r="AF392" s="16" t="n"/>
      <c r="AG392" s="17" t="n"/>
      <c r="AH392" s="17" t="n"/>
      <c r="AI392" s="19">
        <f>IF(AE392="","",AE392+IF(AF392="",TA_NOC,AF392))</f>
        <v/>
      </c>
      <c r="AJ392" s="15">
        <f>IF(AE392="","",IF(AG392="",DATADATE,AG392)-AE392)</f>
        <v/>
      </c>
      <c r="AK392" s="15">
        <f>IF(OR(AI392="",AG392&lt;&gt;""),"",IF(DATADATE&gt;AI392,"OVERDUE",""))</f>
        <v/>
      </c>
      <c r="AL392" s="15">
        <f>IF(AH392="","",IF(AH392&lt;DATADATE,"EXPIRED",IF(AH392-DATADATE&lt;=WARN_EXP,"EXPIRING","")))</f>
        <v/>
      </c>
      <c r="AM392" s="16" t="n"/>
      <c r="AN392" s="16" t="n"/>
      <c r="AO392" s="16" t="n"/>
      <c r="AP392" s="16" t="n"/>
    </row>
    <row r="393">
      <c r="A393" s="15">
        <f>IF(AA393="","",PROJ&amp;"-NOC-"&amp;Z393&amp;"-"&amp;TEXT(AA393,"0000"))</f>
        <v/>
      </c>
      <c r="B393" s="15">
        <f>IF(AA393="","",PROJ)</f>
        <v/>
      </c>
      <c r="C393" s="16" t="n"/>
      <c r="D393" s="16" t="n"/>
      <c r="E393" s="16" t="n"/>
      <c r="F393" s="16" t="n"/>
      <c r="G393" s="16" t="n"/>
      <c r="H393" s="16" t="n"/>
      <c r="I393" s="16" t="n"/>
      <c r="J393" s="16" t="n"/>
      <c r="K393" s="16" t="n"/>
      <c r="L393" s="16" t="n"/>
      <c r="M393" s="16" t="n"/>
      <c r="N393" s="16" t="n"/>
      <c r="O393" s="17" t="n"/>
      <c r="P393" s="16" t="n"/>
      <c r="Q393" s="16" t="n"/>
      <c r="R393" s="16" t="n"/>
      <c r="S393" s="16" t="n"/>
      <c r="T393" s="16" t="n"/>
      <c r="U393" s="16" t="n"/>
      <c r="V393" s="16" t="n"/>
      <c r="W393" s="16" t="n"/>
      <c r="X393" s="16" t="n"/>
      <c r="Y393" s="16" t="n"/>
      <c r="Z393" s="16" t="n"/>
      <c r="AA393" s="16" t="n"/>
      <c r="AB393" s="18" t="n"/>
      <c r="AC393" s="15">
        <f>IF(A393="","",IF(AB393=_xlfn.MAXIFS('Register'!$AB$6:$AB$505,'Register'!$A$6:$A$505,A393),"Y","N"))</f>
        <v/>
      </c>
      <c r="AD393" s="15">
        <f>IF(A393="","",COUNTIF('Register'!$A$6:$A$505,A393))</f>
        <v/>
      </c>
      <c r="AE393" s="17" t="n"/>
      <c r="AF393" s="16" t="n"/>
      <c r="AG393" s="17" t="n"/>
      <c r="AH393" s="17" t="n"/>
      <c r="AI393" s="19">
        <f>IF(AE393="","",AE393+IF(AF393="",TA_NOC,AF393))</f>
        <v/>
      </c>
      <c r="AJ393" s="15">
        <f>IF(AE393="","",IF(AG393="",DATADATE,AG393)-AE393)</f>
        <v/>
      </c>
      <c r="AK393" s="15">
        <f>IF(OR(AI393="",AG393&lt;&gt;""),"",IF(DATADATE&gt;AI393,"OVERDUE",""))</f>
        <v/>
      </c>
      <c r="AL393" s="15">
        <f>IF(AH393="","",IF(AH393&lt;DATADATE,"EXPIRED",IF(AH393-DATADATE&lt;=WARN_EXP,"EXPIRING","")))</f>
        <v/>
      </c>
      <c r="AM393" s="16" t="n"/>
      <c r="AN393" s="16" t="n"/>
      <c r="AO393" s="16" t="n"/>
      <c r="AP393" s="16" t="n"/>
    </row>
    <row r="394">
      <c r="A394" s="15">
        <f>IF(AA394="","",PROJ&amp;"-NOC-"&amp;Z394&amp;"-"&amp;TEXT(AA394,"0000"))</f>
        <v/>
      </c>
      <c r="B394" s="15">
        <f>IF(AA394="","",PROJ)</f>
        <v/>
      </c>
      <c r="C394" s="16" t="n"/>
      <c r="D394" s="16" t="n"/>
      <c r="E394" s="16" t="n"/>
      <c r="F394" s="16" t="n"/>
      <c r="G394" s="16" t="n"/>
      <c r="H394" s="16" t="n"/>
      <c r="I394" s="16" t="n"/>
      <c r="J394" s="16" t="n"/>
      <c r="K394" s="16" t="n"/>
      <c r="L394" s="16" t="n"/>
      <c r="M394" s="16" t="n"/>
      <c r="N394" s="16" t="n"/>
      <c r="O394" s="17" t="n"/>
      <c r="P394" s="16" t="n"/>
      <c r="Q394" s="16" t="n"/>
      <c r="R394" s="16" t="n"/>
      <c r="S394" s="16" t="n"/>
      <c r="T394" s="16" t="n"/>
      <c r="U394" s="16" t="n"/>
      <c r="V394" s="16" t="n"/>
      <c r="W394" s="16" t="n"/>
      <c r="X394" s="16" t="n"/>
      <c r="Y394" s="16" t="n"/>
      <c r="Z394" s="16" t="n"/>
      <c r="AA394" s="16" t="n"/>
      <c r="AB394" s="18" t="n"/>
      <c r="AC394" s="15">
        <f>IF(A394="","",IF(AB394=_xlfn.MAXIFS('Register'!$AB$6:$AB$505,'Register'!$A$6:$A$505,A394),"Y","N"))</f>
        <v/>
      </c>
      <c r="AD394" s="15">
        <f>IF(A394="","",COUNTIF('Register'!$A$6:$A$505,A394))</f>
        <v/>
      </c>
      <c r="AE394" s="17" t="n"/>
      <c r="AF394" s="16" t="n"/>
      <c r="AG394" s="17" t="n"/>
      <c r="AH394" s="17" t="n"/>
      <c r="AI394" s="19">
        <f>IF(AE394="","",AE394+IF(AF394="",TA_NOC,AF394))</f>
        <v/>
      </c>
      <c r="AJ394" s="15">
        <f>IF(AE394="","",IF(AG394="",DATADATE,AG394)-AE394)</f>
        <v/>
      </c>
      <c r="AK394" s="15">
        <f>IF(OR(AI394="",AG394&lt;&gt;""),"",IF(DATADATE&gt;AI394,"OVERDUE",""))</f>
        <v/>
      </c>
      <c r="AL394" s="15">
        <f>IF(AH394="","",IF(AH394&lt;DATADATE,"EXPIRED",IF(AH394-DATADATE&lt;=WARN_EXP,"EXPIRING","")))</f>
        <v/>
      </c>
      <c r="AM394" s="16" t="n"/>
      <c r="AN394" s="16" t="n"/>
      <c r="AO394" s="16" t="n"/>
      <c r="AP394" s="16" t="n"/>
    </row>
    <row r="395">
      <c r="A395" s="15">
        <f>IF(AA395="","",PROJ&amp;"-NOC-"&amp;Z395&amp;"-"&amp;TEXT(AA395,"0000"))</f>
        <v/>
      </c>
      <c r="B395" s="15">
        <f>IF(AA395="","",PROJ)</f>
        <v/>
      </c>
      <c r="C395" s="16" t="n"/>
      <c r="D395" s="16" t="n"/>
      <c r="E395" s="16" t="n"/>
      <c r="F395" s="16" t="n"/>
      <c r="G395" s="16" t="n"/>
      <c r="H395" s="16" t="n"/>
      <c r="I395" s="16" t="n"/>
      <c r="J395" s="16" t="n"/>
      <c r="K395" s="16" t="n"/>
      <c r="L395" s="16" t="n"/>
      <c r="M395" s="16" t="n"/>
      <c r="N395" s="16" t="n"/>
      <c r="O395" s="17" t="n"/>
      <c r="P395" s="16" t="n"/>
      <c r="Q395" s="16" t="n"/>
      <c r="R395" s="16" t="n"/>
      <c r="S395" s="16" t="n"/>
      <c r="T395" s="16" t="n"/>
      <c r="U395" s="16" t="n"/>
      <c r="V395" s="16" t="n"/>
      <c r="W395" s="16" t="n"/>
      <c r="X395" s="16" t="n"/>
      <c r="Y395" s="16" t="n"/>
      <c r="Z395" s="16" t="n"/>
      <c r="AA395" s="16" t="n"/>
      <c r="AB395" s="18" t="n"/>
      <c r="AC395" s="15">
        <f>IF(A395="","",IF(AB395=_xlfn.MAXIFS('Register'!$AB$6:$AB$505,'Register'!$A$6:$A$505,A395),"Y","N"))</f>
        <v/>
      </c>
      <c r="AD395" s="15">
        <f>IF(A395="","",COUNTIF('Register'!$A$6:$A$505,A395))</f>
        <v/>
      </c>
      <c r="AE395" s="17" t="n"/>
      <c r="AF395" s="16" t="n"/>
      <c r="AG395" s="17" t="n"/>
      <c r="AH395" s="17" t="n"/>
      <c r="AI395" s="19">
        <f>IF(AE395="","",AE395+IF(AF395="",TA_NOC,AF395))</f>
        <v/>
      </c>
      <c r="AJ395" s="15">
        <f>IF(AE395="","",IF(AG395="",DATADATE,AG395)-AE395)</f>
        <v/>
      </c>
      <c r="AK395" s="15">
        <f>IF(OR(AI395="",AG395&lt;&gt;""),"",IF(DATADATE&gt;AI395,"OVERDUE",""))</f>
        <v/>
      </c>
      <c r="AL395" s="15">
        <f>IF(AH395="","",IF(AH395&lt;DATADATE,"EXPIRED",IF(AH395-DATADATE&lt;=WARN_EXP,"EXPIRING","")))</f>
        <v/>
      </c>
      <c r="AM395" s="16" t="n"/>
      <c r="AN395" s="16" t="n"/>
      <c r="AO395" s="16" t="n"/>
      <c r="AP395" s="16" t="n"/>
    </row>
    <row r="396">
      <c r="A396" s="15">
        <f>IF(AA396="","",PROJ&amp;"-NOC-"&amp;Z396&amp;"-"&amp;TEXT(AA396,"0000"))</f>
        <v/>
      </c>
      <c r="B396" s="15">
        <f>IF(AA396="","",PROJ)</f>
        <v/>
      </c>
      <c r="C396" s="16" t="n"/>
      <c r="D396" s="16" t="n"/>
      <c r="E396" s="16" t="n"/>
      <c r="F396" s="16" t="n"/>
      <c r="G396" s="16" t="n"/>
      <c r="H396" s="16" t="n"/>
      <c r="I396" s="16" t="n"/>
      <c r="J396" s="16" t="n"/>
      <c r="K396" s="16" t="n"/>
      <c r="L396" s="16" t="n"/>
      <c r="M396" s="16" t="n"/>
      <c r="N396" s="16" t="n"/>
      <c r="O396" s="17" t="n"/>
      <c r="P396" s="16" t="n"/>
      <c r="Q396" s="16" t="n"/>
      <c r="R396" s="16" t="n"/>
      <c r="S396" s="16" t="n"/>
      <c r="T396" s="16" t="n"/>
      <c r="U396" s="16" t="n"/>
      <c r="V396" s="16" t="n"/>
      <c r="W396" s="16" t="n"/>
      <c r="X396" s="16" t="n"/>
      <c r="Y396" s="16" t="n"/>
      <c r="Z396" s="16" t="n"/>
      <c r="AA396" s="16" t="n"/>
      <c r="AB396" s="18" t="n"/>
      <c r="AC396" s="15">
        <f>IF(A396="","",IF(AB396=_xlfn.MAXIFS('Register'!$AB$6:$AB$505,'Register'!$A$6:$A$505,A396),"Y","N"))</f>
        <v/>
      </c>
      <c r="AD396" s="15">
        <f>IF(A396="","",COUNTIF('Register'!$A$6:$A$505,A396))</f>
        <v/>
      </c>
      <c r="AE396" s="17" t="n"/>
      <c r="AF396" s="16" t="n"/>
      <c r="AG396" s="17" t="n"/>
      <c r="AH396" s="17" t="n"/>
      <c r="AI396" s="19">
        <f>IF(AE396="","",AE396+IF(AF396="",TA_NOC,AF396))</f>
        <v/>
      </c>
      <c r="AJ396" s="15">
        <f>IF(AE396="","",IF(AG396="",DATADATE,AG396)-AE396)</f>
        <v/>
      </c>
      <c r="AK396" s="15">
        <f>IF(OR(AI396="",AG396&lt;&gt;""),"",IF(DATADATE&gt;AI396,"OVERDUE",""))</f>
        <v/>
      </c>
      <c r="AL396" s="15">
        <f>IF(AH396="","",IF(AH396&lt;DATADATE,"EXPIRED",IF(AH396-DATADATE&lt;=WARN_EXP,"EXPIRING","")))</f>
        <v/>
      </c>
      <c r="AM396" s="16" t="n"/>
      <c r="AN396" s="16" t="n"/>
      <c r="AO396" s="16" t="n"/>
      <c r="AP396" s="16" t="n"/>
    </row>
    <row r="397">
      <c r="A397" s="15">
        <f>IF(AA397="","",PROJ&amp;"-NOC-"&amp;Z397&amp;"-"&amp;TEXT(AA397,"0000"))</f>
        <v/>
      </c>
      <c r="B397" s="15">
        <f>IF(AA397="","",PROJ)</f>
        <v/>
      </c>
      <c r="C397" s="16" t="n"/>
      <c r="D397" s="16" t="n"/>
      <c r="E397" s="16" t="n"/>
      <c r="F397" s="16" t="n"/>
      <c r="G397" s="16" t="n"/>
      <c r="H397" s="16" t="n"/>
      <c r="I397" s="16" t="n"/>
      <c r="J397" s="16" t="n"/>
      <c r="K397" s="16" t="n"/>
      <c r="L397" s="16" t="n"/>
      <c r="M397" s="16" t="n"/>
      <c r="N397" s="16" t="n"/>
      <c r="O397" s="17" t="n"/>
      <c r="P397" s="16" t="n"/>
      <c r="Q397" s="16" t="n"/>
      <c r="R397" s="16" t="n"/>
      <c r="S397" s="16" t="n"/>
      <c r="T397" s="16" t="n"/>
      <c r="U397" s="16" t="n"/>
      <c r="V397" s="16" t="n"/>
      <c r="W397" s="16" t="n"/>
      <c r="X397" s="16" t="n"/>
      <c r="Y397" s="16" t="n"/>
      <c r="Z397" s="16" t="n"/>
      <c r="AA397" s="16" t="n"/>
      <c r="AB397" s="18" t="n"/>
      <c r="AC397" s="15">
        <f>IF(A397="","",IF(AB397=_xlfn.MAXIFS('Register'!$AB$6:$AB$505,'Register'!$A$6:$A$505,A397),"Y","N"))</f>
        <v/>
      </c>
      <c r="AD397" s="15">
        <f>IF(A397="","",COUNTIF('Register'!$A$6:$A$505,A397))</f>
        <v/>
      </c>
      <c r="AE397" s="17" t="n"/>
      <c r="AF397" s="16" t="n"/>
      <c r="AG397" s="17" t="n"/>
      <c r="AH397" s="17" t="n"/>
      <c r="AI397" s="19">
        <f>IF(AE397="","",AE397+IF(AF397="",TA_NOC,AF397))</f>
        <v/>
      </c>
      <c r="AJ397" s="15">
        <f>IF(AE397="","",IF(AG397="",DATADATE,AG397)-AE397)</f>
        <v/>
      </c>
      <c r="AK397" s="15">
        <f>IF(OR(AI397="",AG397&lt;&gt;""),"",IF(DATADATE&gt;AI397,"OVERDUE",""))</f>
        <v/>
      </c>
      <c r="AL397" s="15">
        <f>IF(AH397="","",IF(AH397&lt;DATADATE,"EXPIRED",IF(AH397-DATADATE&lt;=WARN_EXP,"EXPIRING","")))</f>
        <v/>
      </c>
      <c r="AM397" s="16" t="n"/>
      <c r="AN397" s="16" t="n"/>
      <c r="AO397" s="16" t="n"/>
      <c r="AP397" s="16" t="n"/>
    </row>
    <row r="398">
      <c r="A398" s="15">
        <f>IF(AA398="","",PROJ&amp;"-NOC-"&amp;Z398&amp;"-"&amp;TEXT(AA398,"0000"))</f>
        <v/>
      </c>
      <c r="B398" s="15">
        <f>IF(AA398="","",PROJ)</f>
        <v/>
      </c>
      <c r="C398" s="16" t="n"/>
      <c r="D398" s="16" t="n"/>
      <c r="E398" s="16" t="n"/>
      <c r="F398" s="16" t="n"/>
      <c r="G398" s="16" t="n"/>
      <c r="H398" s="16" t="n"/>
      <c r="I398" s="16" t="n"/>
      <c r="J398" s="16" t="n"/>
      <c r="K398" s="16" t="n"/>
      <c r="L398" s="16" t="n"/>
      <c r="M398" s="16" t="n"/>
      <c r="N398" s="16" t="n"/>
      <c r="O398" s="17" t="n"/>
      <c r="P398" s="16" t="n"/>
      <c r="Q398" s="16" t="n"/>
      <c r="R398" s="16" t="n"/>
      <c r="S398" s="16" t="n"/>
      <c r="T398" s="16" t="n"/>
      <c r="U398" s="16" t="n"/>
      <c r="V398" s="16" t="n"/>
      <c r="W398" s="16" t="n"/>
      <c r="X398" s="16" t="n"/>
      <c r="Y398" s="16" t="n"/>
      <c r="Z398" s="16" t="n"/>
      <c r="AA398" s="16" t="n"/>
      <c r="AB398" s="18" t="n"/>
      <c r="AC398" s="15">
        <f>IF(A398="","",IF(AB398=_xlfn.MAXIFS('Register'!$AB$6:$AB$505,'Register'!$A$6:$A$505,A398),"Y","N"))</f>
        <v/>
      </c>
      <c r="AD398" s="15">
        <f>IF(A398="","",COUNTIF('Register'!$A$6:$A$505,A398))</f>
        <v/>
      </c>
      <c r="AE398" s="17" t="n"/>
      <c r="AF398" s="16" t="n"/>
      <c r="AG398" s="17" t="n"/>
      <c r="AH398" s="17" t="n"/>
      <c r="AI398" s="19">
        <f>IF(AE398="","",AE398+IF(AF398="",TA_NOC,AF398))</f>
        <v/>
      </c>
      <c r="AJ398" s="15">
        <f>IF(AE398="","",IF(AG398="",DATADATE,AG398)-AE398)</f>
        <v/>
      </c>
      <c r="AK398" s="15">
        <f>IF(OR(AI398="",AG398&lt;&gt;""),"",IF(DATADATE&gt;AI398,"OVERDUE",""))</f>
        <v/>
      </c>
      <c r="AL398" s="15">
        <f>IF(AH398="","",IF(AH398&lt;DATADATE,"EXPIRED",IF(AH398-DATADATE&lt;=WARN_EXP,"EXPIRING","")))</f>
        <v/>
      </c>
      <c r="AM398" s="16" t="n"/>
      <c r="AN398" s="16" t="n"/>
      <c r="AO398" s="16" t="n"/>
      <c r="AP398" s="16" t="n"/>
    </row>
    <row r="399">
      <c r="A399" s="15">
        <f>IF(AA399="","",PROJ&amp;"-NOC-"&amp;Z399&amp;"-"&amp;TEXT(AA399,"0000"))</f>
        <v/>
      </c>
      <c r="B399" s="15">
        <f>IF(AA399="","",PROJ)</f>
        <v/>
      </c>
      <c r="C399" s="16" t="n"/>
      <c r="D399" s="16" t="n"/>
      <c r="E399" s="16" t="n"/>
      <c r="F399" s="16" t="n"/>
      <c r="G399" s="16" t="n"/>
      <c r="H399" s="16" t="n"/>
      <c r="I399" s="16" t="n"/>
      <c r="J399" s="16" t="n"/>
      <c r="K399" s="16" t="n"/>
      <c r="L399" s="16" t="n"/>
      <c r="M399" s="16" t="n"/>
      <c r="N399" s="16" t="n"/>
      <c r="O399" s="17" t="n"/>
      <c r="P399" s="16" t="n"/>
      <c r="Q399" s="16" t="n"/>
      <c r="R399" s="16" t="n"/>
      <c r="S399" s="16" t="n"/>
      <c r="T399" s="16" t="n"/>
      <c r="U399" s="16" t="n"/>
      <c r="V399" s="16" t="n"/>
      <c r="W399" s="16" t="n"/>
      <c r="X399" s="16" t="n"/>
      <c r="Y399" s="16" t="n"/>
      <c r="Z399" s="16" t="n"/>
      <c r="AA399" s="16" t="n"/>
      <c r="AB399" s="18" t="n"/>
      <c r="AC399" s="15">
        <f>IF(A399="","",IF(AB399=_xlfn.MAXIFS('Register'!$AB$6:$AB$505,'Register'!$A$6:$A$505,A399),"Y","N"))</f>
        <v/>
      </c>
      <c r="AD399" s="15">
        <f>IF(A399="","",COUNTIF('Register'!$A$6:$A$505,A399))</f>
        <v/>
      </c>
      <c r="AE399" s="17" t="n"/>
      <c r="AF399" s="16" t="n"/>
      <c r="AG399" s="17" t="n"/>
      <c r="AH399" s="17" t="n"/>
      <c r="AI399" s="19">
        <f>IF(AE399="","",AE399+IF(AF399="",TA_NOC,AF399))</f>
        <v/>
      </c>
      <c r="AJ399" s="15">
        <f>IF(AE399="","",IF(AG399="",DATADATE,AG399)-AE399)</f>
        <v/>
      </c>
      <c r="AK399" s="15">
        <f>IF(OR(AI399="",AG399&lt;&gt;""),"",IF(DATADATE&gt;AI399,"OVERDUE",""))</f>
        <v/>
      </c>
      <c r="AL399" s="15">
        <f>IF(AH399="","",IF(AH399&lt;DATADATE,"EXPIRED",IF(AH399-DATADATE&lt;=WARN_EXP,"EXPIRING","")))</f>
        <v/>
      </c>
      <c r="AM399" s="16" t="n"/>
      <c r="AN399" s="16" t="n"/>
      <c r="AO399" s="16" t="n"/>
      <c r="AP399" s="16" t="n"/>
    </row>
    <row r="400">
      <c r="A400" s="15">
        <f>IF(AA400="","",PROJ&amp;"-NOC-"&amp;Z400&amp;"-"&amp;TEXT(AA400,"0000"))</f>
        <v/>
      </c>
      <c r="B400" s="15">
        <f>IF(AA400="","",PROJ)</f>
        <v/>
      </c>
      <c r="C400" s="16" t="n"/>
      <c r="D400" s="16" t="n"/>
      <c r="E400" s="16" t="n"/>
      <c r="F400" s="16" t="n"/>
      <c r="G400" s="16" t="n"/>
      <c r="H400" s="16" t="n"/>
      <c r="I400" s="16" t="n"/>
      <c r="J400" s="16" t="n"/>
      <c r="K400" s="16" t="n"/>
      <c r="L400" s="16" t="n"/>
      <c r="M400" s="16" t="n"/>
      <c r="N400" s="16" t="n"/>
      <c r="O400" s="17" t="n"/>
      <c r="P400" s="16" t="n"/>
      <c r="Q400" s="16" t="n"/>
      <c r="R400" s="16" t="n"/>
      <c r="S400" s="16" t="n"/>
      <c r="T400" s="16" t="n"/>
      <c r="U400" s="16" t="n"/>
      <c r="V400" s="16" t="n"/>
      <c r="W400" s="16" t="n"/>
      <c r="X400" s="16" t="n"/>
      <c r="Y400" s="16" t="n"/>
      <c r="Z400" s="16" t="n"/>
      <c r="AA400" s="16" t="n"/>
      <c r="AB400" s="18" t="n"/>
      <c r="AC400" s="15">
        <f>IF(A400="","",IF(AB400=_xlfn.MAXIFS('Register'!$AB$6:$AB$505,'Register'!$A$6:$A$505,A400),"Y","N"))</f>
        <v/>
      </c>
      <c r="AD400" s="15">
        <f>IF(A400="","",COUNTIF('Register'!$A$6:$A$505,A400))</f>
        <v/>
      </c>
      <c r="AE400" s="17" t="n"/>
      <c r="AF400" s="16" t="n"/>
      <c r="AG400" s="17" t="n"/>
      <c r="AH400" s="17" t="n"/>
      <c r="AI400" s="19">
        <f>IF(AE400="","",AE400+IF(AF400="",TA_NOC,AF400))</f>
        <v/>
      </c>
      <c r="AJ400" s="15">
        <f>IF(AE400="","",IF(AG400="",DATADATE,AG400)-AE400)</f>
        <v/>
      </c>
      <c r="AK400" s="15">
        <f>IF(OR(AI400="",AG400&lt;&gt;""),"",IF(DATADATE&gt;AI400,"OVERDUE",""))</f>
        <v/>
      </c>
      <c r="AL400" s="15">
        <f>IF(AH400="","",IF(AH400&lt;DATADATE,"EXPIRED",IF(AH400-DATADATE&lt;=WARN_EXP,"EXPIRING","")))</f>
        <v/>
      </c>
      <c r="AM400" s="16" t="n"/>
      <c r="AN400" s="16" t="n"/>
      <c r="AO400" s="16" t="n"/>
      <c r="AP400" s="16" t="n"/>
    </row>
    <row r="401">
      <c r="A401" s="15">
        <f>IF(AA401="","",PROJ&amp;"-NOC-"&amp;Z401&amp;"-"&amp;TEXT(AA401,"0000"))</f>
        <v/>
      </c>
      <c r="B401" s="15">
        <f>IF(AA401="","",PROJ)</f>
        <v/>
      </c>
      <c r="C401" s="16" t="n"/>
      <c r="D401" s="16" t="n"/>
      <c r="E401" s="16" t="n"/>
      <c r="F401" s="16" t="n"/>
      <c r="G401" s="16" t="n"/>
      <c r="H401" s="16" t="n"/>
      <c r="I401" s="16" t="n"/>
      <c r="J401" s="16" t="n"/>
      <c r="K401" s="16" t="n"/>
      <c r="L401" s="16" t="n"/>
      <c r="M401" s="16" t="n"/>
      <c r="N401" s="16" t="n"/>
      <c r="O401" s="17" t="n"/>
      <c r="P401" s="16" t="n"/>
      <c r="Q401" s="16" t="n"/>
      <c r="R401" s="16" t="n"/>
      <c r="S401" s="16" t="n"/>
      <c r="T401" s="16" t="n"/>
      <c r="U401" s="16" t="n"/>
      <c r="V401" s="16" t="n"/>
      <c r="W401" s="16" t="n"/>
      <c r="X401" s="16" t="n"/>
      <c r="Y401" s="16" t="n"/>
      <c r="Z401" s="16" t="n"/>
      <c r="AA401" s="16" t="n"/>
      <c r="AB401" s="18" t="n"/>
      <c r="AC401" s="15">
        <f>IF(A401="","",IF(AB401=_xlfn.MAXIFS('Register'!$AB$6:$AB$505,'Register'!$A$6:$A$505,A401),"Y","N"))</f>
        <v/>
      </c>
      <c r="AD401" s="15">
        <f>IF(A401="","",COUNTIF('Register'!$A$6:$A$505,A401))</f>
        <v/>
      </c>
      <c r="AE401" s="17" t="n"/>
      <c r="AF401" s="16" t="n"/>
      <c r="AG401" s="17" t="n"/>
      <c r="AH401" s="17" t="n"/>
      <c r="AI401" s="19">
        <f>IF(AE401="","",AE401+IF(AF401="",TA_NOC,AF401))</f>
        <v/>
      </c>
      <c r="AJ401" s="15">
        <f>IF(AE401="","",IF(AG401="",DATADATE,AG401)-AE401)</f>
        <v/>
      </c>
      <c r="AK401" s="15">
        <f>IF(OR(AI401="",AG401&lt;&gt;""),"",IF(DATADATE&gt;AI401,"OVERDUE",""))</f>
        <v/>
      </c>
      <c r="AL401" s="15">
        <f>IF(AH401="","",IF(AH401&lt;DATADATE,"EXPIRED",IF(AH401-DATADATE&lt;=WARN_EXP,"EXPIRING","")))</f>
        <v/>
      </c>
      <c r="AM401" s="16" t="n"/>
      <c r="AN401" s="16" t="n"/>
      <c r="AO401" s="16" t="n"/>
      <c r="AP401" s="16" t="n"/>
    </row>
    <row r="402">
      <c r="A402" s="15">
        <f>IF(AA402="","",PROJ&amp;"-NOC-"&amp;Z402&amp;"-"&amp;TEXT(AA402,"0000"))</f>
        <v/>
      </c>
      <c r="B402" s="15">
        <f>IF(AA402="","",PROJ)</f>
        <v/>
      </c>
      <c r="C402" s="16" t="n"/>
      <c r="D402" s="16" t="n"/>
      <c r="E402" s="16" t="n"/>
      <c r="F402" s="16" t="n"/>
      <c r="G402" s="16" t="n"/>
      <c r="H402" s="16" t="n"/>
      <c r="I402" s="16" t="n"/>
      <c r="J402" s="16" t="n"/>
      <c r="K402" s="16" t="n"/>
      <c r="L402" s="16" t="n"/>
      <c r="M402" s="16" t="n"/>
      <c r="N402" s="16" t="n"/>
      <c r="O402" s="17" t="n"/>
      <c r="P402" s="16" t="n"/>
      <c r="Q402" s="16" t="n"/>
      <c r="R402" s="16" t="n"/>
      <c r="S402" s="16" t="n"/>
      <c r="T402" s="16" t="n"/>
      <c r="U402" s="16" t="n"/>
      <c r="V402" s="16" t="n"/>
      <c r="W402" s="16" t="n"/>
      <c r="X402" s="16" t="n"/>
      <c r="Y402" s="16" t="n"/>
      <c r="Z402" s="16" t="n"/>
      <c r="AA402" s="16" t="n"/>
      <c r="AB402" s="18" t="n"/>
      <c r="AC402" s="15">
        <f>IF(A402="","",IF(AB402=_xlfn.MAXIFS('Register'!$AB$6:$AB$505,'Register'!$A$6:$A$505,A402),"Y","N"))</f>
        <v/>
      </c>
      <c r="AD402" s="15">
        <f>IF(A402="","",COUNTIF('Register'!$A$6:$A$505,A402))</f>
        <v/>
      </c>
      <c r="AE402" s="17" t="n"/>
      <c r="AF402" s="16" t="n"/>
      <c r="AG402" s="17" t="n"/>
      <c r="AH402" s="17" t="n"/>
      <c r="AI402" s="19">
        <f>IF(AE402="","",AE402+IF(AF402="",TA_NOC,AF402))</f>
        <v/>
      </c>
      <c r="AJ402" s="15">
        <f>IF(AE402="","",IF(AG402="",DATADATE,AG402)-AE402)</f>
        <v/>
      </c>
      <c r="AK402" s="15">
        <f>IF(OR(AI402="",AG402&lt;&gt;""),"",IF(DATADATE&gt;AI402,"OVERDUE",""))</f>
        <v/>
      </c>
      <c r="AL402" s="15">
        <f>IF(AH402="","",IF(AH402&lt;DATADATE,"EXPIRED",IF(AH402-DATADATE&lt;=WARN_EXP,"EXPIRING","")))</f>
        <v/>
      </c>
      <c r="AM402" s="16" t="n"/>
      <c r="AN402" s="16" t="n"/>
      <c r="AO402" s="16" t="n"/>
      <c r="AP402" s="16" t="n"/>
    </row>
    <row r="403">
      <c r="A403" s="15">
        <f>IF(AA403="","",PROJ&amp;"-NOC-"&amp;Z403&amp;"-"&amp;TEXT(AA403,"0000"))</f>
        <v/>
      </c>
      <c r="B403" s="15">
        <f>IF(AA403="","",PROJ)</f>
        <v/>
      </c>
      <c r="C403" s="16" t="n"/>
      <c r="D403" s="16" t="n"/>
      <c r="E403" s="16" t="n"/>
      <c r="F403" s="16" t="n"/>
      <c r="G403" s="16" t="n"/>
      <c r="H403" s="16" t="n"/>
      <c r="I403" s="16" t="n"/>
      <c r="J403" s="16" t="n"/>
      <c r="K403" s="16" t="n"/>
      <c r="L403" s="16" t="n"/>
      <c r="M403" s="16" t="n"/>
      <c r="N403" s="16" t="n"/>
      <c r="O403" s="17" t="n"/>
      <c r="P403" s="16" t="n"/>
      <c r="Q403" s="16" t="n"/>
      <c r="R403" s="16" t="n"/>
      <c r="S403" s="16" t="n"/>
      <c r="T403" s="16" t="n"/>
      <c r="U403" s="16" t="n"/>
      <c r="V403" s="16" t="n"/>
      <c r="W403" s="16" t="n"/>
      <c r="X403" s="16" t="n"/>
      <c r="Y403" s="16" t="n"/>
      <c r="Z403" s="16" t="n"/>
      <c r="AA403" s="16" t="n"/>
      <c r="AB403" s="18" t="n"/>
      <c r="AC403" s="15">
        <f>IF(A403="","",IF(AB403=_xlfn.MAXIFS('Register'!$AB$6:$AB$505,'Register'!$A$6:$A$505,A403),"Y","N"))</f>
        <v/>
      </c>
      <c r="AD403" s="15">
        <f>IF(A403="","",COUNTIF('Register'!$A$6:$A$505,A403))</f>
        <v/>
      </c>
      <c r="AE403" s="17" t="n"/>
      <c r="AF403" s="16" t="n"/>
      <c r="AG403" s="17" t="n"/>
      <c r="AH403" s="17" t="n"/>
      <c r="AI403" s="19">
        <f>IF(AE403="","",AE403+IF(AF403="",TA_NOC,AF403))</f>
        <v/>
      </c>
      <c r="AJ403" s="15">
        <f>IF(AE403="","",IF(AG403="",DATADATE,AG403)-AE403)</f>
        <v/>
      </c>
      <c r="AK403" s="15">
        <f>IF(OR(AI403="",AG403&lt;&gt;""),"",IF(DATADATE&gt;AI403,"OVERDUE",""))</f>
        <v/>
      </c>
      <c r="AL403" s="15">
        <f>IF(AH403="","",IF(AH403&lt;DATADATE,"EXPIRED",IF(AH403-DATADATE&lt;=WARN_EXP,"EXPIRING","")))</f>
        <v/>
      </c>
      <c r="AM403" s="16" t="n"/>
      <c r="AN403" s="16" t="n"/>
      <c r="AO403" s="16" t="n"/>
      <c r="AP403" s="16" t="n"/>
    </row>
    <row r="404">
      <c r="A404" s="15">
        <f>IF(AA404="","",PROJ&amp;"-NOC-"&amp;Z404&amp;"-"&amp;TEXT(AA404,"0000"))</f>
        <v/>
      </c>
      <c r="B404" s="15">
        <f>IF(AA404="","",PROJ)</f>
        <v/>
      </c>
      <c r="C404" s="16" t="n"/>
      <c r="D404" s="16" t="n"/>
      <c r="E404" s="16" t="n"/>
      <c r="F404" s="16" t="n"/>
      <c r="G404" s="16" t="n"/>
      <c r="H404" s="16" t="n"/>
      <c r="I404" s="16" t="n"/>
      <c r="J404" s="16" t="n"/>
      <c r="K404" s="16" t="n"/>
      <c r="L404" s="16" t="n"/>
      <c r="M404" s="16" t="n"/>
      <c r="N404" s="16" t="n"/>
      <c r="O404" s="17" t="n"/>
      <c r="P404" s="16" t="n"/>
      <c r="Q404" s="16" t="n"/>
      <c r="R404" s="16" t="n"/>
      <c r="S404" s="16" t="n"/>
      <c r="T404" s="16" t="n"/>
      <c r="U404" s="16" t="n"/>
      <c r="V404" s="16" t="n"/>
      <c r="W404" s="16" t="n"/>
      <c r="X404" s="16" t="n"/>
      <c r="Y404" s="16" t="n"/>
      <c r="Z404" s="16" t="n"/>
      <c r="AA404" s="16" t="n"/>
      <c r="AB404" s="18" t="n"/>
      <c r="AC404" s="15">
        <f>IF(A404="","",IF(AB404=_xlfn.MAXIFS('Register'!$AB$6:$AB$505,'Register'!$A$6:$A$505,A404),"Y","N"))</f>
        <v/>
      </c>
      <c r="AD404" s="15">
        <f>IF(A404="","",COUNTIF('Register'!$A$6:$A$505,A404))</f>
        <v/>
      </c>
      <c r="AE404" s="17" t="n"/>
      <c r="AF404" s="16" t="n"/>
      <c r="AG404" s="17" t="n"/>
      <c r="AH404" s="17" t="n"/>
      <c r="AI404" s="19">
        <f>IF(AE404="","",AE404+IF(AF404="",TA_NOC,AF404))</f>
        <v/>
      </c>
      <c r="AJ404" s="15">
        <f>IF(AE404="","",IF(AG404="",DATADATE,AG404)-AE404)</f>
        <v/>
      </c>
      <c r="AK404" s="15">
        <f>IF(OR(AI404="",AG404&lt;&gt;""),"",IF(DATADATE&gt;AI404,"OVERDUE",""))</f>
        <v/>
      </c>
      <c r="AL404" s="15">
        <f>IF(AH404="","",IF(AH404&lt;DATADATE,"EXPIRED",IF(AH404-DATADATE&lt;=WARN_EXP,"EXPIRING","")))</f>
        <v/>
      </c>
      <c r="AM404" s="16" t="n"/>
      <c r="AN404" s="16" t="n"/>
      <c r="AO404" s="16" t="n"/>
      <c r="AP404" s="16" t="n"/>
    </row>
    <row r="405">
      <c r="A405" s="15">
        <f>IF(AA405="","",PROJ&amp;"-NOC-"&amp;Z405&amp;"-"&amp;TEXT(AA405,"0000"))</f>
        <v/>
      </c>
      <c r="B405" s="15">
        <f>IF(AA405="","",PROJ)</f>
        <v/>
      </c>
      <c r="C405" s="16" t="n"/>
      <c r="D405" s="16" t="n"/>
      <c r="E405" s="16" t="n"/>
      <c r="F405" s="16" t="n"/>
      <c r="G405" s="16" t="n"/>
      <c r="H405" s="16" t="n"/>
      <c r="I405" s="16" t="n"/>
      <c r="J405" s="16" t="n"/>
      <c r="K405" s="16" t="n"/>
      <c r="L405" s="16" t="n"/>
      <c r="M405" s="16" t="n"/>
      <c r="N405" s="16" t="n"/>
      <c r="O405" s="17" t="n"/>
      <c r="P405" s="16" t="n"/>
      <c r="Q405" s="16" t="n"/>
      <c r="R405" s="16" t="n"/>
      <c r="S405" s="16" t="n"/>
      <c r="T405" s="16" t="n"/>
      <c r="U405" s="16" t="n"/>
      <c r="V405" s="16" t="n"/>
      <c r="W405" s="16" t="n"/>
      <c r="X405" s="16" t="n"/>
      <c r="Y405" s="16" t="n"/>
      <c r="Z405" s="16" t="n"/>
      <c r="AA405" s="16" t="n"/>
      <c r="AB405" s="18" t="n"/>
      <c r="AC405" s="15">
        <f>IF(A405="","",IF(AB405=_xlfn.MAXIFS('Register'!$AB$6:$AB$505,'Register'!$A$6:$A$505,A405),"Y","N"))</f>
        <v/>
      </c>
      <c r="AD405" s="15">
        <f>IF(A405="","",COUNTIF('Register'!$A$6:$A$505,A405))</f>
        <v/>
      </c>
      <c r="AE405" s="17" t="n"/>
      <c r="AF405" s="16" t="n"/>
      <c r="AG405" s="17" t="n"/>
      <c r="AH405" s="17" t="n"/>
      <c r="AI405" s="19">
        <f>IF(AE405="","",AE405+IF(AF405="",TA_NOC,AF405))</f>
        <v/>
      </c>
      <c r="AJ405" s="15">
        <f>IF(AE405="","",IF(AG405="",DATADATE,AG405)-AE405)</f>
        <v/>
      </c>
      <c r="AK405" s="15">
        <f>IF(OR(AI405="",AG405&lt;&gt;""),"",IF(DATADATE&gt;AI405,"OVERDUE",""))</f>
        <v/>
      </c>
      <c r="AL405" s="15">
        <f>IF(AH405="","",IF(AH405&lt;DATADATE,"EXPIRED",IF(AH405-DATADATE&lt;=WARN_EXP,"EXPIRING","")))</f>
        <v/>
      </c>
      <c r="AM405" s="16" t="n"/>
      <c r="AN405" s="16" t="n"/>
      <c r="AO405" s="16" t="n"/>
      <c r="AP405" s="16" t="n"/>
    </row>
    <row r="406">
      <c r="A406" s="15">
        <f>IF(AA406="","",PROJ&amp;"-NOC-"&amp;Z406&amp;"-"&amp;TEXT(AA406,"0000"))</f>
        <v/>
      </c>
      <c r="B406" s="15">
        <f>IF(AA406="","",PROJ)</f>
        <v/>
      </c>
      <c r="C406" s="16" t="n"/>
      <c r="D406" s="16" t="n"/>
      <c r="E406" s="16" t="n"/>
      <c r="F406" s="16" t="n"/>
      <c r="G406" s="16" t="n"/>
      <c r="H406" s="16" t="n"/>
      <c r="I406" s="16" t="n"/>
      <c r="J406" s="16" t="n"/>
      <c r="K406" s="16" t="n"/>
      <c r="L406" s="16" t="n"/>
      <c r="M406" s="16" t="n"/>
      <c r="N406" s="16" t="n"/>
      <c r="O406" s="17" t="n"/>
      <c r="P406" s="16" t="n"/>
      <c r="Q406" s="16" t="n"/>
      <c r="R406" s="16" t="n"/>
      <c r="S406" s="16" t="n"/>
      <c r="T406" s="16" t="n"/>
      <c r="U406" s="16" t="n"/>
      <c r="V406" s="16" t="n"/>
      <c r="W406" s="16" t="n"/>
      <c r="X406" s="16" t="n"/>
      <c r="Y406" s="16" t="n"/>
      <c r="Z406" s="16" t="n"/>
      <c r="AA406" s="16" t="n"/>
      <c r="AB406" s="18" t="n"/>
      <c r="AC406" s="15">
        <f>IF(A406="","",IF(AB406=_xlfn.MAXIFS('Register'!$AB$6:$AB$505,'Register'!$A$6:$A$505,A406),"Y","N"))</f>
        <v/>
      </c>
      <c r="AD406" s="15">
        <f>IF(A406="","",COUNTIF('Register'!$A$6:$A$505,A406))</f>
        <v/>
      </c>
      <c r="AE406" s="17" t="n"/>
      <c r="AF406" s="16" t="n"/>
      <c r="AG406" s="17" t="n"/>
      <c r="AH406" s="17" t="n"/>
      <c r="AI406" s="19">
        <f>IF(AE406="","",AE406+IF(AF406="",TA_NOC,AF406))</f>
        <v/>
      </c>
      <c r="AJ406" s="15">
        <f>IF(AE406="","",IF(AG406="",DATADATE,AG406)-AE406)</f>
        <v/>
      </c>
      <c r="AK406" s="15">
        <f>IF(OR(AI406="",AG406&lt;&gt;""),"",IF(DATADATE&gt;AI406,"OVERDUE",""))</f>
        <v/>
      </c>
      <c r="AL406" s="15">
        <f>IF(AH406="","",IF(AH406&lt;DATADATE,"EXPIRED",IF(AH406-DATADATE&lt;=WARN_EXP,"EXPIRING","")))</f>
        <v/>
      </c>
      <c r="AM406" s="16" t="n"/>
      <c r="AN406" s="16" t="n"/>
      <c r="AO406" s="16" t="n"/>
      <c r="AP406" s="16" t="n"/>
    </row>
    <row r="407">
      <c r="A407" s="15">
        <f>IF(AA407="","",PROJ&amp;"-NOC-"&amp;Z407&amp;"-"&amp;TEXT(AA407,"0000"))</f>
        <v/>
      </c>
      <c r="B407" s="15">
        <f>IF(AA407="","",PROJ)</f>
        <v/>
      </c>
      <c r="C407" s="16" t="n"/>
      <c r="D407" s="16" t="n"/>
      <c r="E407" s="16" t="n"/>
      <c r="F407" s="16" t="n"/>
      <c r="G407" s="16" t="n"/>
      <c r="H407" s="16" t="n"/>
      <c r="I407" s="16" t="n"/>
      <c r="J407" s="16" t="n"/>
      <c r="K407" s="16" t="n"/>
      <c r="L407" s="16" t="n"/>
      <c r="M407" s="16" t="n"/>
      <c r="N407" s="16" t="n"/>
      <c r="O407" s="17" t="n"/>
      <c r="P407" s="16" t="n"/>
      <c r="Q407" s="16" t="n"/>
      <c r="R407" s="16" t="n"/>
      <c r="S407" s="16" t="n"/>
      <c r="T407" s="16" t="n"/>
      <c r="U407" s="16" t="n"/>
      <c r="V407" s="16" t="n"/>
      <c r="W407" s="16" t="n"/>
      <c r="X407" s="16" t="n"/>
      <c r="Y407" s="16" t="n"/>
      <c r="Z407" s="16" t="n"/>
      <c r="AA407" s="16" t="n"/>
      <c r="AB407" s="18" t="n"/>
      <c r="AC407" s="15">
        <f>IF(A407="","",IF(AB407=_xlfn.MAXIFS('Register'!$AB$6:$AB$505,'Register'!$A$6:$A$505,A407),"Y","N"))</f>
        <v/>
      </c>
      <c r="AD407" s="15">
        <f>IF(A407="","",COUNTIF('Register'!$A$6:$A$505,A407))</f>
        <v/>
      </c>
      <c r="AE407" s="17" t="n"/>
      <c r="AF407" s="16" t="n"/>
      <c r="AG407" s="17" t="n"/>
      <c r="AH407" s="17" t="n"/>
      <c r="AI407" s="19">
        <f>IF(AE407="","",AE407+IF(AF407="",TA_NOC,AF407))</f>
        <v/>
      </c>
      <c r="AJ407" s="15">
        <f>IF(AE407="","",IF(AG407="",DATADATE,AG407)-AE407)</f>
        <v/>
      </c>
      <c r="AK407" s="15">
        <f>IF(OR(AI407="",AG407&lt;&gt;""),"",IF(DATADATE&gt;AI407,"OVERDUE",""))</f>
        <v/>
      </c>
      <c r="AL407" s="15">
        <f>IF(AH407="","",IF(AH407&lt;DATADATE,"EXPIRED",IF(AH407-DATADATE&lt;=WARN_EXP,"EXPIRING","")))</f>
        <v/>
      </c>
      <c r="AM407" s="16" t="n"/>
      <c r="AN407" s="16" t="n"/>
      <c r="AO407" s="16" t="n"/>
      <c r="AP407" s="16" t="n"/>
    </row>
    <row r="408">
      <c r="A408" s="15">
        <f>IF(AA408="","",PROJ&amp;"-NOC-"&amp;Z408&amp;"-"&amp;TEXT(AA408,"0000"))</f>
        <v/>
      </c>
      <c r="B408" s="15">
        <f>IF(AA408="","",PROJ)</f>
        <v/>
      </c>
      <c r="C408" s="16" t="n"/>
      <c r="D408" s="16" t="n"/>
      <c r="E408" s="16" t="n"/>
      <c r="F408" s="16" t="n"/>
      <c r="G408" s="16" t="n"/>
      <c r="H408" s="16" t="n"/>
      <c r="I408" s="16" t="n"/>
      <c r="J408" s="16" t="n"/>
      <c r="K408" s="16" t="n"/>
      <c r="L408" s="16" t="n"/>
      <c r="M408" s="16" t="n"/>
      <c r="N408" s="16" t="n"/>
      <c r="O408" s="17" t="n"/>
      <c r="P408" s="16" t="n"/>
      <c r="Q408" s="16" t="n"/>
      <c r="R408" s="16" t="n"/>
      <c r="S408" s="16" t="n"/>
      <c r="T408" s="16" t="n"/>
      <c r="U408" s="16" t="n"/>
      <c r="V408" s="16" t="n"/>
      <c r="W408" s="16" t="n"/>
      <c r="X408" s="16" t="n"/>
      <c r="Y408" s="16" t="n"/>
      <c r="Z408" s="16" t="n"/>
      <c r="AA408" s="16" t="n"/>
      <c r="AB408" s="18" t="n"/>
      <c r="AC408" s="15">
        <f>IF(A408="","",IF(AB408=_xlfn.MAXIFS('Register'!$AB$6:$AB$505,'Register'!$A$6:$A$505,A408),"Y","N"))</f>
        <v/>
      </c>
      <c r="AD408" s="15">
        <f>IF(A408="","",COUNTIF('Register'!$A$6:$A$505,A408))</f>
        <v/>
      </c>
      <c r="AE408" s="17" t="n"/>
      <c r="AF408" s="16" t="n"/>
      <c r="AG408" s="17" t="n"/>
      <c r="AH408" s="17" t="n"/>
      <c r="AI408" s="19">
        <f>IF(AE408="","",AE408+IF(AF408="",TA_NOC,AF408))</f>
        <v/>
      </c>
      <c r="AJ408" s="15">
        <f>IF(AE408="","",IF(AG408="",DATADATE,AG408)-AE408)</f>
        <v/>
      </c>
      <c r="AK408" s="15">
        <f>IF(OR(AI408="",AG408&lt;&gt;""),"",IF(DATADATE&gt;AI408,"OVERDUE",""))</f>
        <v/>
      </c>
      <c r="AL408" s="15">
        <f>IF(AH408="","",IF(AH408&lt;DATADATE,"EXPIRED",IF(AH408-DATADATE&lt;=WARN_EXP,"EXPIRING","")))</f>
        <v/>
      </c>
      <c r="AM408" s="16" t="n"/>
      <c r="AN408" s="16" t="n"/>
      <c r="AO408" s="16" t="n"/>
      <c r="AP408" s="16" t="n"/>
    </row>
    <row r="409">
      <c r="A409" s="15">
        <f>IF(AA409="","",PROJ&amp;"-NOC-"&amp;Z409&amp;"-"&amp;TEXT(AA409,"0000"))</f>
        <v/>
      </c>
      <c r="B409" s="15">
        <f>IF(AA409="","",PROJ)</f>
        <v/>
      </c>
      <c r="C409" s="16" t="n"/>
      <c r="D409" s="16" t="n"/>
      <c r="E409" s="16" t="n"/>
      <c r="F409" s="16" t="n"/>
      <c r="G409" s="16" t="n"/>
      <c r="H409" s="16" t="n"/>
      <c r="I409" s="16" t="n"/>
      <c r="J409" s="16" t="n"/>
      <c r="K409" s="16" t="n"/>
      <c r="L409" s="16" t="n"/>
      <c r="M409" s="16" t="n"/>
      <c r="N409" s="16" t="n"/>
      <c r="O409" s="17" t="n"/>
      <c r="P409" s="16" t="n"/>
      <c r="Q409" s="16" t="n"/>
      <c r="R409" s="16" t="n"/>
      <c r="S409" s="16" t="n"/>
      <c r="T409" s="16" t="n"/>
      <c r="U409" s="16" t="n"/>
      <c r="V409" s="16" t="n"/>
      <c r="W409" s="16" t="n"/>
      <c r="X409" s="16" t="n"/>
      <c r="Y409" s="16" t="n"/>
      <c r="Z409" s="16" t="n"/>
      <c r="AA409" s="16" t="n"/>
      <c r="AB409" s="18" t="n"/>
      <c r="AC409" s="15">
        <f>IF(A409="","",IF(AB409=_xlfn.MAXIFS('Register'!$AB$6:$AB$505,'Register'!$A$6:$A$505,A409),"Y","N"))</f>
        <v/>
      </c>
      <c r="AD409" s="15">
        <f>IF(A409="","",COUNTIF('Register'!$A$6:$A$505,A409))</f>
        <v/>
      </c>
      <c r="AE409" s="17" t="n"/>
      <c r="AF409" s="16" t="n"/>
      <c r="AG409" s="17" t="n"/>
      <c r="AH409" s="17" t="n"/>
      <c r="AI409" s="19">
        <f>IF(AE409="","",AE409+IF(AF409="",TA_NOC,AF409))</f>
        <v/>
      </c>
      <c r="AJ409" s="15">
        <f>IF(AE409="","",IF(AG409="",DATADATE,AG409)-AE409)</f>
        <v/>
      </c>
      <c r="AK409" s="15">
        <f>IF(OR(AI409="",AG409&lt;&gt;""),"",IF(DATADATE&gt;AI409,"OVERDUE",""))</f>
        <v/>
      </c>
      <c r="AL409" s="15">
        <f>IF(AH409="","",IF(AH409&lt;DATADATE,"EXPIRED",IF(AH409-DATADATE&lt;=WARN_EXP,"EXPIRING","")))</f>
        <v/>
      </c>
      <c r="AM409" s="16" t="n"/>
      <c r="AN409" s="16" t="n"/>
      <c r="AO409" s="16" t="n"/>
      <c r="AP409" s="16" t="n"/>
    </row>
    <row r="410">
      <c r="A410" s="15">
        <f>IF(AA410="","",PROJ&amp;"-NOC-"&amp;Z410&amp;"-"&amp;TEXT(AA410,"0000"))</f>
        <v/>
      </c>
      <c r="B410" s="15">
        <f>IF(AA410="","",PROJ)</f>
        <v/>
      </c>
      <c r="C410" s="16" t="n"/>
      <c r="D410" s="16" t="n"/>
      <c r="E410" s="16" t="n"/>
      <c r="F410" s="16" t="n"/>
      <c r="G410" s="16" t="n"/>
      <c r="H410" s="16" t="n"/>
      <c r="I410" s="16" t="n"/>
      <c r="J410" s="16" t="n"/>
      <c r="K410" s="16" t="n"/>
      <c r="L410" s="16" t="n"/>
      <c r="M410" s="16" t="n"/>
      <c r="N410" s="16" t="n"/>
      <c r="O410" s="17" t="n"/>
      <c r="P410" s="16" t="n"/>
      <c r="Q410" s="16" t="n"/>
      <c r="R410" s="16" t="n"/>
      <c r="S410" s="16" t="n"/>
      <c r="T410" s="16" t="n"/>
      <c r="U410" s="16" t="n"/>
      <c r="V410" s="16" t="n"/>
      <c r="W410" s="16" t="n"/>
      <c r="X410" s="16" t="n"/>
      <c r="Y410" s="16" t="n"/>
      <c r="Z410" s="16" t="n"/>
      <c r="AA410" s="16" t="n"/>
      <c r="AB410" s="18" t="n"/>
      <c r="AC410" s="15">
        <f>IF(A410="","",IF(AB410=_xlfn.MAXIFS('Register'!$AB$6:$AB$505,'Register'!$A$6:$A$505,A410),"Y","N"))</f>
        <v/>
      </c>
      <c r="AD410" s="15">
        <f>IF(A410="","",COUNTIF('Register'!$A$6:$A$505,A410))</f>
        <v/>
      </c>
      <c r="AE410" s="17" t="n"/>
      <c r="AF410" s="16" t="n"/>
      <c r="AG410" s="17" t="n"/>
      <c r="AH410" s="17" t="n"/>
      <c r="AI410" s="19">
        <f>IF(AE410="","",AE410+IF(AF410="",TA_NOC,AF410))</f>
        <v/>
      </c>
      <c r="AJ410" s="15">
        <f>IF(AE410="","",IF(AG410="",DATADATE,AG410)-AE410)</f>
        <v/>
      </c>
      <c r="AK410" s="15">
        <f>IF(OR(AI410="",AG410&lt;&gt;""),"",IF(DATADATE&gt;AI410,"OVERDUE",""))</f>
        <v/>
      </c>
      <c r="AL410" s="15">
        <f>IF(AH410="","",IF(AH410&lt;DATADATE,"EXPIRED",IF(AH410-DATADATE&lt;=WARN_EXP,"EXPIRING","")))</f>
        <v/>
      </c>
      <c r="AM410" s="16" t="n"/>
      <c r="AN410" s="16" t="n"/>
      <c r="AO410" s="16" t="n"/>
      <c r="AP410" s="16" t="n"/>
    </row>
    <row r="411">
      <c r="A411" s="15">
        <f>IF(AA411="","",PROJ&amp;"-NOC-"&amp;Z411&amp;"-"&amp;TEXT(AA411,"0000"))</f>
        <v/>
      </c>
      <c r="B411" s="15">
        <f>IF(AA411="","",PROJ)</f>
        <v/>
      </c>
      <c r="C411" s="16" t="n"/>
      <c r="D411" s="16" t="n"/>
      <c r="E411" s="16" t="n"/>
      <c r="F411" s="16" t="n"/>
      <c r="G411" s="16" t="n"/>
      <c r="H411" s="16" t="n"/>
      <c r="I411" s="16" t="n"/>
      <c r="J411" s="16" t="n"/>
      <c r="K411" s="16" t="n"/>
      <c r="L411" s="16" t="n"/>
      <c r="M411" s="16" t="n"/>
      <c r="N411" s="16" t="n"/>
      <c r="O411" s="17" t="n"/>
      <c r="P411" s="16" t="n"/>
      <c r="Q411" s="16" t="n"/>
      <c r="R411" s="16" t="n"/>
      <c r="S411" s="16" t="n"/>
      <c r="T411" s="16" t="n"/>
      <c r="U411" s="16" t="n"/>
      <c r="V411" s="16" t="n"/>
      <c r="W411" s="16" t="n"/>
      <c r="X411" s="16" t="n"/>
      <c r="Y411" s="16" t="n"/>
      <c r="Z411" s="16" t="n"/>
      <c r="AA411" s="16" t="n"/>
      <c r="AB411" s="18" t="n"/>
      <c r="AC411" s="15">
        <f>IF(A411="","",IF(AB411=_xlfn.MAXIFS('Register'!$AB$6:$AB$505,'Register'!$A$6:$A$505,A411),"Y","N"))</f>
        <v/>
      </c>
      <c r="AD411" s="15">
        <f>IF(A411="","",COUNTIF('Register'!$A$6:$A$505,A411))</f>
        <v/>
      </c>
      <c r="AE411" s="17" t="n"/>
      <c r="AF411" s="16" t="n"/>
      <c r="AG411" s="17" t="n"/>
      <c r="AH411" s="17" t="n"/>
      <c r="AI411" s="19">
        <f>IF(AE411="","",AE411+IF(AF411="",TA_NOC,AF411))</f>
        <v/>
      </c>
      <c r="AJ411" s="15">
        <f>IF(AE411="","",IF(AG411="",DATADATE,AG411)-AE411)</f>
        <v/>
      </c>
      <c r="AK411" s="15">
        <f>IF(OR(AI411="",AG411&lt;&gt;""),"",IF(DATADATE&gt;AI411,"OVERDUE",""))</f>
        <v/>
      </c>
      <c r="AL411" s="15">
        <f>IF(AH411="","",IF(AH411&lt;DATADATE,"EXPIRED",IF(AH411-DATADATE&lt;=WARN_EXP,"EXPIRING","")))</f>
        <v/>
      </c>
      <c r="AM411" s="16" t="n"/>
      <c r="AN411" s="16" t="n"/>
      <c r="AO411" s="16" t="n"/>
      <c r="AP411" s="16" t="n"/>
    </row>
    <row r="412">
      <c r="A412" s="15">
        <f>IF(AA412="","",PROJ&amp;"-NOC-"&amp;Z412&amp;"-"&amp;TEXT(AA412,"0000"))</f>
        <v/>
      </c>
      <c r="B412" s="15">
        <f>IF(AA412="","",PROJ)</f>
        <v/>
      </c>
      <c r="C412" s="16" t="n"/>
      <c r="D412" s="16" t="n"/>
      <c r="E412" s="16" t="n"/>
      <c r="F412" s="16" t="n"/>
      <c r="G412" s="16" t="n"/>
      <c r="H412" s="16" t="n"/>
      <c r="I412" s="16" t="n"/>
      <c r="J412" s="16" t="n"/>
      <c r="K412" s="16" t="n"/>
      <c r="L412" s="16" t="n"/>
      <c r="M412" s="16" t="n"/>
      <c r="N412" s="16" t="n"/>
      <c r="O412" s="17" t="n"/>
      <c r="P412" s="16" t="n"/>
      <c r="Q412" s="16" t="n"/>
      <c r="R412" s="16" t="n"/>
      <c r="S412" s="16" t="n"/>
      <c r="T412" s="16" t="n"/>
      <c r="U412" s="16" t="n"/>
      <c r="V412" s="16" t="n"/>
      <c r="W412" s="16" t="n"/>
      <c r="X412" s="16" t="n"/>
      <c r="Y412" s="16" t="n"/>
      <c r="Z412" s="16" t="n"/>
      <c r="AA412" s="16" t="n"/>
      <c r="AB412" s="18" t="n"/>
      <c r="AC412" s="15">
        <f>IF(A412="","",IF(AB412=_xlfn.MAXIFS('Register'!$AB$6:$AB$505,'Register'!$A$6:$A$505,A412),"Y","N"))</f>
        <v/>
      </c>
      <c r="AD412" s="15">
        <f>IF(A412="","",COUNTIF('Register'!$A$6:$A$505,A412))</f>
        <v/>
      </c>
      <c r="AE412" s="17" t="n"/>
      <c r="AF412" s="16" t="n"/>
      <c r="AG412" s="17" t="n"/>
      <c r="AH412" s="17" t="n"/>
      <c r="AI412" s="19">
        <f>IF(AE412="","",AE412+IF(AF412="",TA_NOC,AF412))</f>
        <v/>
      </c>
      <c r="AJ412" s="15">
        <f>IF(AE412="","",IF(AG412="",DATADATE,AG412)-AE412)</f>
        <v/>
      </c>
      <c r="AK412" s="15">
        <f>IF(OR(AI412="",AG412&lt;&gt;""),"",IF(DATADATE&gt;AI412,"OVERDUE",""))</f>
        <v/>
      </c>
      <c r="AL412" s="15">
        <f>IF(AH412="","",IF(AH412&lt;DATADATE,"EXPIRED",IF(AH412-DATADATE&lt;=WARN_EXP,"EXPIRING","")))</f>
        <v/>
      </c>
      <c r="AM412" s="16" t="n"/>
      <c r="AN412" s="16" t="n"/>
      <c r="AO412" s="16" t="n"/>
      <c r="AP412" s="16" t="n"/>
    </row>
    <row r="413">
      <c r="A413" s="15">
        <f>IF(AA413="","",PROJ&amp;"-NOC-"&amp;Z413&amp;"-"&amp;TEXT(AA413,"0000"))</f>
        <v/>
      </c>
      <c r="B413" s="15">
        <f>IF(AA413="","",PROJ)</f>
        <v/>
      </c>
      <c r="C413" s="16" t="n"/>
      <c r="D413" s="16" t="n"/>
      <c r="E413" s="16" t="n"/>
      <c r="F413" s="16" t="n"/>
      <c r="G413" s="16" t="n"/>
      <c r="H413" s="16" t="n"/>
      <c r="I413" s="16" t="n"/>
      <c r="J413" s="16" t="n"/>
      <c r="K413" s="16" t="n"/>
      <c r="L413" s="16" t="n"/>
      <c r="M413" s="16" t="n"/>
      <c r="N413" s="16" t="n"/>
      <c r="O413" s="17" t="n"/>
      <c r="P413" s="16" t="n"/>
      <c r="Q413" s="16" t="n"/>
      <c r="R413" s="16" t="n"/>
      <c r="S413" s="16" t="n"/>
      <c r="T413" s="16" t="n"/>
      <c r="U413" s="16" t="n"/>
      <c r="V413" s="16" t="n"/>
      <c r="W413" s="16" t="n"/>
      <c r="X413" s="16" t="n"/>
      <c r="Y413" s="16" t="n"/>
      <c r="Z413" s="16" t="n"/>
      <c r="AA413" s="16" t="n"/>
      <c r="AB413" s="18" t="n"/>
      <c r="AC413" s="15">
        <f>IF(A413="","",IF(AB413=_xlfn.MAXIFS('Register'!$AB$6:$AB$505,'Register'!$A$6:$A$505,A413),"Y","N"))</f>
        <v/>
      </c>
      <c r="AD413" s="15">
        <f>IF(A413="","",COUNTIF('Register'!$A$6:$A$505,A413))</f>
        <v/>
      </c>
      <c r="AE413" s="17" t="n"/>
      <c r="AF413" s="16" t="n"/>
      <c r="AG413" s="17" t="n"/>
      <c r="AH413" s="17" t="n"/>
      <c r="AI413" s="19">
        <f>IF(AE413="","",AE413+IF(AF413="",TA_NOC,AF413))</f>
        <v/>
      </c>
      <c r="AJ413" s="15">
        <f>IF(AE413="","",IF(AG413="",DATADATE,AG413)-AE413)</f>
        <v/>
      </c>
      <c r="AK413" s="15">
        <f>IF(OR(AI413="",AG413&lt;&gt;""),"",IF(DATADATE&gt;AI413,"OVERDUE",""))</f>
        <v/>
      </c>
      <c r="AL413" s="15">
        <f>IF(AH413="","",IF(AH413&lt;DATADATE,"EXPIRED",IF(AH413-DATADATE&lt;=WARN_EXP,"EXPIRING","")))</f>
        <v/>
      </c>
      <c r="AM413" s="16" t="n"/>
      <c r="AN413" s="16" t="n"/>
      <c r="AO413" s="16" t="n"/>
      <c r="AP413" s="16" t="n"/>
    </row>
    <row r="414">
      <c r="A414" s="15">
        <f>IF(AA414="","",PROJ&amp;"-NOC-"&amp;Z414&amp;"-"&amp;TEXT(AA414,"0000"))</f>
        <v/>
      </c>
      <c r="B414" s="15">
        <f>IF(AA414="","",PROJ)</f>
        <v/>
      </c>
      <c r="C414" s="16" t="n"/>
      <c r="D414" s="16" t="n"/>
      <c r="E414" s="16" t="n"/>
      <c r="F414" s="16" t="n"/>
      <c r="G414" s="16" t="n"/>
      <c r="H414" s="16" t="n"/>
      <c r="I414" s="16" t="n"/>
      <c r="J414" s="16" t="n"/>
      <c r="K414" s="16" t="n"/>
      <c r="L414" s="16" t="n"/>
      <c r="M414" s="16" t="n"/>
      <c r="N414" s="16" t="n"/>
      <c r="O414" s="17" t="n"/>
      <c r="P414" s="16" t="n"/>
      <c r="Q414" s="16" t="n"/>
      <c r="R414" s="16" t="n"/>
      <c r="S414" s="16" t="n"/>
      <c r="T414" s="16" t="n"/>
      <c r="U414" s="16" t="n"/>
      <c r="V414" s="16" t="n"/>
      <c r="W414" s="16" t="n"/>
      <c r="X414" s="16" t="n"/>
      <c r="Y414" s="16" t="n"/>
      <c r="Z414" s="16" t="n"/>
      <c r="AA414" s="16" t="n"/>
      <c r="AB414" s="18" t="n"/>
      <c r="AC414" s="15">
        <f>IF(A414="","",IF(AB414=_xlfn.MAXIFS('Register'!$AB$6:$AB$505,'Register'!$A$6:$A$505,A414),"Y","N"))</f>
        <v/>
      </c>
      <c r="AD414" s="15">
        <f>IF(A414="","",COUNTIF('Register'!$A$6:$A$505,A414))</f>
        <v/>
      </c>
      <c r="AE414" s="17" t="n"/>
      <c r="AF414" s="16" t="n"/>
      <c r="AG414" s="17" t="n"/>
      <c r="AH414" s="17" t="n"/>
      <c r="AI414" s="19">
        <f>IF(AE414="","",AE414+IF(AF414="",TA_NOC,AF414))</f>
        <v/>
      </c>
      <c r="AJ414" s="15">
        <f>IF(AE414="","",IF(AG414="",DATADATE,AG414)-AE414)</f>
        <v/>
      </c>
      <c r="AK414" s="15">
        <f>IF(OR(AI414="",AG414&lt;&gt;""),"",IF(DATADATE&gt;AI414,"OVERDUE",""))</f>
        <v/>
      </c>
      <c r="AL414" s="15">
        <f>IF(AH414="","",IF(AH414&lt;DATADATE,"EXPIRED",IF(AH414-DATADATE&lt;=WARN_EXP,"EXPIRING","")))</f>
        <v/>
      </c>
      <c r="AM414" s="16" t="n"/>
      <c r="AN414" s="16" t="n"/>
      <c r="AO414" s="16" t="n"/>
      <c r="AP414" s="16" t="n"/>
    </row>
    <row r="415">
      <c r="A415" s="15">
        <f>IF(AA415="","",PROJ&amp;"-NOC-"&amp;Z415&amp;"-"&amp;TEXT(AA415,"0000"))</f>
        <v/>
      </c>
      <c r="B415" s="15">
        <f>IF(AA415="","",PROJ)</f>
        <v/>
      </c>
      <c r="C415" s="16" t="n"/>
      <c r="D415" s="16" t="n"/>
      <c r="E415" s="16" t="n"/>
      <c r="F415" s="16" t="n"/>
      <c r="G415" s="16" t="n"/>
      <c r="H415" s="16" t="n"/>
      <c r="I415" s="16" t="n"/>
      <c r="J415" s="16" t="n"/>
      <c r="K415" s="16" t="n"/>
      <c r="L415" s="16" t="n"/>
      <c r="M415" s="16" t="n"/>
      <c r="N415" s="16" t="n"/>
      <c r="O415" s="17" t="n"/>
      <c r="P415" s="16" t="n"/>
      <c r="Q415" s="16" t="n"/>
      <c r="R415" s="16" t="n"/>
      <c r="S415" s="16" t="n"/>
      <c r="T415" s="16" t="n"/>
      <c r="U415" s="16" t="n"/>
      <c r="V415" s="16" t="n"/>
      <c r="W415" s="16" t="n"/>
      <c r="X415" s="16" t="n"/>
      <c r="Y415" s="16" t="n"/>
      <c r="Z415" s="16" t="n"/>
      <c r="AA415" s="16" t="n"/>
      <c r="AB415" s="18" t="n"/>
      <c r="AC415" s="15">
        <f>IF(A415="","",IF(AB415=_xlfn.MAXIFS('Register'!$AB$6:$AB$505,'Register'!$A$6:$A$505,A415),"Y","N"))</f>
        <v/>
      </c>
      <c r="AD415" s="15">
        <f>IF(A415="","",COUNTIF('Register'!$A$6:$A$505,A415))</f>
        <v/>
      </c>
      <c r="AE415" s="17" t="n"/>
      <c r="AF415" s="16" t="n"/>
      <c r="AG415" s="17" t="n"/>
      <c r="AH415" s="17" t="n"/>
      <c r="AI415" s="19">
        <f>IF(AE415="","",AE415+IF(AF415="",TA_NOC,AF415))</f>
        <v/>
      </c>
      <c r="AJ415" s="15">
        <f>IF(AE415="","",IF(AG415="",DATADATE,AG415)-AE415)</f>
        <v/>
      </c>
      <c r="AK415" s="15">
        <f>IF(OR(AI415="",AG415&lt;&gt;""),"",IF(DATADATE&gt;AI415,"OVERDUE",""))</f>
        <v/>
      </c>
      <c r="AL415" s="15">
        <f>IF(AH415="","",IF(AH415&lt;DATADATE,"EXPIRED",IF(AH415-DATADATE&lt;=WARN_EXP,"EXPIRING","")))</f>
        <v/>
      </c>
      <c r="AM415" s="16" t="n"/>
      <c r="AN415" s="16" t="n"/>
      <c r="AO415" s="16" t="n"/>
      <c r="AP415" s="16" t="n"/>
    </row>
    <row r="416">
      <c r="A416" s="15">
        <f>IF(AA416="","",PROJ&amp;"-NOC-"&amp;Z416&amp;"-"&amp;TEXT(AA416,"0000"))</f>
        <v/>
      </c>
      <c r="B416" s="15">
        <f>IF(AA416="","",PROJ)</f>
        <v/>
      </c>
      <c r="C416" s="16" t="n"/>
      <c r="D416" s="16" t="n"/>
      <c r="E416" s="16" t="n"/>
      <c r="F416" s="16" t="n"/>
      <c r="G416" s="16" t="n"/>
      <c r="H416" s="16" t="n"/>
      <c r="I416" s="16" t="n"/>
      <c r="J416" s="16" t="n"/>
      <c r="K416" s="16" t="n"/>
      <c r="L416" s="16" t="n"/>
      <c r="M416" s="16" t="n"/>
      <c r="N416" s="16" t="n"/>
      <c r="O416" s="17" t="n"/>
      <c r="P416" s="16" t="n"/>
      <c r="Q416" s="16" t="n"/>
      <c r="R416" s="16" t="n"/>
      <c r="S416" s="16" t="n"/>
      <c r="T416" s="16" t="n"/>
      <c r="U416" s="16" t="n"/>
      <c r="V416" s="16" t="n"/>
      <c r="W416" s="16" t="n"/>
      <c r="X416" s="16" t="n"/>
      <c r="Y416" s="16" t="n"/>
      <c r="Z416" s="16" t="n"/>
      <c r="AA416" s="16" t="n"/>
      <c r="AB416" s="18" t="n"/>
      <c r="AC416" s="15">
        <f>IF(A416="","",IF(AB416=_xlfn.MAXIFS('Register'!$AB$6:$AB$505,'Register'!$A$6:$A$505,A416),"Y","N"))</f>
        <v/>
      </c>
      <c r="AD416" s="15">
        <f>IF(A416="","",COUNTIF('Register'!$A$6:$A$505,A416))</f>
        <v/>
      </c>
      <c r="AE416" s="17" t="n"/>
      <c r="AF416" s="16" t="n"/>
      <c r="AG416" s="17" t="n"/>
      <c r="AH416" s="17" t="n"/>
      <c r="AI416" s="19">
        <f>IF(AE416="","",AE416+IF(AF416="",TA_NOC,AF416))</f>
        <v/>
      </c>
      <c r="AJ416" s="15">
        <f>IF(AE416="","",IF(AG416="",DATADATE,AG416)-AE416)</f>
        <v/>
      </c>
      <c r="AK416" s="15">
        <f>IF(OR(AI416="",AG416&lt;&gt;""),"",IF(DATADATE&gt;AI416,"OVERDUE",""))</f>
        <v/>
      </c>
      <c r="AL416" s="15">
        <f>IF(AH416="","",IF(AH416&lt;DATADATE,"EXPIRED",IF(AH416-DATADATE&lt;=WARN_EXP,"EXPIRING","")))</f>
        <v/>
      </c>
      <c r="AM416" s="16" t="n"/>
      <c r="AN416" s="16" t="n"/>
      <c r="AO416" s="16" t="n"/>
      <c r="AP416" s="16" t="n"/>
    </row>
    <row r="417">
      <c r="A417" s="15">
        <f>IF(AA417="","",PROJ&amp;"-NOC-"&amp;Z417&amp;"-"&amp;TEXT(AA417,"0000"))</f>
        <v/>
      </c>
      <c r="B417" s="15">
        <f>IF(AA417="","",PROJ)</f>
        <v/>
      </c>
      <c r="C417" s="16" t="n"/>
      <c r="D417" s="16" t="n"/>
      <c r="E417" s="16" t="n"/>
      <c r="F417" s="16" t="n"/>
      <c r="G417" s="16" t="n"/>
      <c r="H417" s="16" t="n"/>
      <c r="I417" s="16" t="n"/>
      <c r="J417" s="16" t="n"/>
      <c r="K417" s="16" t="n"/>
      <c r="L417" s="16" t="n"/>
      <c r="M417" s="16" t="n"/>
      <c r="N417" s="16" t="n"/>
      <c r="O417" s="17" t="n"/>
      <c r="P417" s="16" t="n"/>
      <c r="Q417" s="16" t="n"/>
      <c r="R417" s="16" t="n"/>
      <c r="S417" s="16" t="n"/>
      <c r="T417" s="16" t="n"/>
      <c r="U417" s="16" t="n"/>
      <c r="V417" s="16" t="n"/>
      <c r="W417" s="16" t="n"/>
      <c r="X417" s="16" t="n"/>
      <c r="Y417" s="16" t="n"/>
      <c r="Z417" s="16" t="n"/>
      <c r="AA417" s="16" t="n"/>
      <c r="AB417" s="18" t="n"/>
      <c r="AC417" s="15">
        <f>IF(A417="","",IF(AB417=_xlfn.MAXIFS('Register'!$AB$6:$AB$505,'Register'!$A$6:$A$505,A417),"Y","N"))</f>
        <v/>
      </c>
      <c r="AD417" s="15">
        <f>IF(A417="","",COUNTIF('Register'!$A$6:$A$505,A417))</f>
        <v/>
      </c>
      <c r="AE417" s="17" t="n"/>
      <c r="AF417" s="16" t="n"/>
      <c r="AG417" s="17" t="n"/>
      <c r="AH417" s="17" t="n"/>
      <c r="AI417" s="19">
        <f>IF(AE417="","",AE417+IF(AF417="",TA_NOC,AF417))</f>
        <v/>
      </c>
      <c r="AJ417" s="15">
        <f>IF(AE417="","",IF(AG417="",DATADATE,AG417)-AE417)</f>
        <v/>
      </c>
      <c r="AK417" s="15">
        <f>IF(OR(AI417="",AG417&lt;&gt;""),"",IF(DATADATE&gt;AI417,"OVERDUE",""))</f>
        <v/>
      </c>
      <c r="AL417" s="15">
        <f>IF(AH417="","",IF(AH417&lt;DATADATE,"EXPIRED",IF(AH417-DATADATE&lt;=WARN_EXP,"EXPIRING","")))</f>
        <v/>
      </c>
      <c r="AM417" s="16" t="n"/>
      <c r="AN417" s="16" t="n"/>
      <c r="AO417" s="16" t="n"/>
      <c r="AP417" s="16" t="n"/>
    </row>
    <row r="418">
      <c r="A418" s="15">
        <f>IF(AA418="","",PROJ&amp;"-NOC-"&amp;Z418&amp;"-"&amp;TEXT(AA418,"0000"))</f>
        <v/>
      </c>
      <c r="B418" s="15">
        <f>IF(AA418="","",PROJ)</f>
        <v/>
      </c>
      <c r="C418" s="16" t="n"/>
      <c r="D418" s="16" t="n"/>
      <c r="E418" s="16" t="n"/>
      <c r="F418" s="16" t="n"/>
      <c r="G418" s="16" t="n"/>
      <c r="H418" s="16" t="n"/>
      <c r="I418" s="16" t="n"/>
      <c r="J418" s="16" t="n"/>
      <c r="K418" s="16" t="n"/>
      <c r="L418" s="16" t="n"/>
      <c r="M418" s="16" t="n"/>
      <c r="N418" s="16" t="n"/>
      <c r="O418" s="17" t="n"/>
      <c r="P418" s="16" t="n"/>
      <c r="Q418" s="16" t="n"/>
      <c r="R418" s="16" t="n"/>
      <c r="S418" s="16" t="n"/>
      <c r="T418" s="16" t="n"/>
      <c r="U418" s="16" t="n"/>
      <c r="V418" s="16" t="n"/>
      <c r="W418" s="16" t="n"/>
      <c r="X418" s="16" t="n"/>
      <c r="Y418" s="16" t="n"/>
      <c r="Z418" s="16" t="n"/>
      <c r="AA418" s="16" t="n"/>
      <c r="AB418" s="18" t="n"/>
      <c r="AC418" s="15">
        <f>IF(A418="","",IF(AB418=_xlfn.MAXIFS('Register'!$AB$6:$AB$505,'Register'!$A$6:$A$505,A418),"Y","N"))</f>
        <v/>
      </c>
      <c r="AD418" s="15">
        <f>IF(A418="","",COUNTIF('Register'!$A$6:$A$505,A418))</f>
        <v/>
      </c>
      <c r="AE418" s="17" t="n"/>
      <c r="AF418" s="16" t="n"/>
      <c r="AG418" s="17" t="n"/>
      <c r="AH418" s="17" t="n"/>
      <c r="AI418" s="19">
        <f>IF(AE418="","",AE418+IF(AF418="",TA_NOC,AF418))</f>
        <v/>
      </c>
      <c r="AJ418" s="15">
        <f>IF(AE418="","",IF(AG418="",DATADATE,AG418)-AE418)</f>
        <v/>
      </c>
      <c r="AK418" s="15">
        <f>IF(OR(AI418="",AG418&lt;&gt;""),"",IF(DATADATE&gt;AI418,"OVERDUE",""))</f>
        <v/>
      </c>
      <c r="AL418" s="15">
        <f>IF(AH418="","",IF(AH418&lt;DATADATE,"EXPIRED",IF(AH418-DATADATE&lt;=WARN_EXP,"EXPIRING","")))</f>
        <v/>
      </c>
      <c r="AM418" s="16" t="n"/>
      <c r="AN418" s="16" t="n"/>
      <c r="AO418" s="16" t="n"/>
      <c r="AP418" s="16" t="n"/>
    </row>
    <row r="419">
      <c r="A419" s="15">
        <f>IF(AA419="","",PROJ&amp;"-NOC-"&amp;Z419&amp;"-"&amp;TEXT(AA419,"0000"))</f>
        <v/>
      </c>
      <c r="B419" s="15">
        <f>IF(AA419="","",PROJ)</f>
        <v/>
      </c>
      <c r="C419" s="16" t="n"/>
      <c r="D419" s="16" t="n"/>
      <c r="E419" s="16" t="n"/>
      <c r="F419" s="16" t="n"/>
      <c r="G419" s="16" t="n"/>
      <c r="H419" s="16" t="n"/>
      <c r="I419" s="16" t="n"/>
      <c r="J419" s="16" t="n"/>
      <c r="K419" s="16" t="n"/>
      <c r="L419" s="16" t="n"/>
      <c r="M419" s="16" t="n"/>
      <c r="N419" s="16" t="n"/>
      <c r="O419" s="17" t="n"/>
      <c r="P419" s="16" t="n"/>
      <c r="Q419" s="16" t="n"/>
      <c r="R419" s="16" t="n"/>
      <c r="S419" s="16" t="n"/>
      <c r="T419" s="16" t="n"/>
      <c r="U419" s="16" t="n"/>
      <c r="V419" s="16" t="n"/>
      <c r="W419" s="16" t="n"/>
      <c r="X419" s="16" t="n"/>
      <c r="Y419" s="16" t="n"/>
      <c r="Z419" s="16" t="n"/>
      <c r="AA419" s="16" t="n"/>
      <c r="AB419" s="18" t="n"/>
      <c r="AC419" s="15">
        <f>IF(A419="","",IF(AB419=_xlfn.MAXIFS('Register'!$AB$6:$AB$505,'Register'!$A$6:$A$505,A419),"Y","N"))</f>
        <v/>
      </c>
      <c r="AD419" s="15">
        <f>IF(A419="","",COUNTIF('Register'!$A$6:$A$505,A419))</f>
        <v/>
      </c>
      <c r="AE419" s="17" t="n"/>
      <c r="AF419" s="16" t="n"/>
      <c r="AG419" s="17" t="n"/>
      <c r="AH419" s="17" t="n"/>
      <c r="AI419" s="19">
        <f>IF(AE419="","",AE419+IF(AF419="",TA_NOC,AF419))</f>
        <v/>
      </c>
      <c r="AJ419" s="15">
        <f>IF(AE419="","",IF(AG419="",DATADATE,AG419)-AE419)</f>
        <v/>
      </c>
      <c r="AK419" s="15">
        <f>IF(OR(AI419="",AG419&lt;&gt;""),"",IF(DATADATE&gt;AI419,"OVERDUE",""))</f>
        <v/>
      </c>
      <c r="AL419" s="15">
        <f>IF(AH419="","",IF(AH419&lt;DATADATE,"EXPIRED",IF(AH419-DATADATE&lt;=WARN_EXP,"EXPIRING","")))</f>
        <v/>
      </c>
      <c r="AM419" s="16" t="n"/>
      <c r="AN419" s="16" t="n"/>
      <c r="AO419" s="16" t="n"/>
      <c r="AP419" s="16" t="n"/>
    </row>
    <row r="420">
      <c r="A420" s="15">
        <f>IF(AA420="","",PROJ&amp;"-NOC-"&amp;Z420&amp;"-"&amp;TEXT(AA420,"0000"))</f>
        <v/>
      </c>
      <c r="B420" s="15">
        <f>IF(AA420="","",PROJ)</f>
        <v/>
      </c>
      <c r="C420" s="16" t="n"/>
      <c r="D420" s="16" t="n"/>
      <c r="E420" s="16" t="n"/>
      <c r="F420" s="16" t="n"/>
      <c r="G420" s="16" t="n"/>
      <c r="H420" s="16" t="n"/>
      <c r="I420" s="16" t="n"/>
      <c r="J420" s="16" t="n"/>
      <c r="K420" s="16" t="n"/>
      <c r="L420" s="16" t="n"/>
      <c r="M420" s="16" t="n"/>
      <c r="N420" s="16" t="n"/>
      <c r="O420" s="17" t="n"/>
      <c r="P420" s="16" t="n"/>
      <c r="Q420" s="16" t="n"/>
      <c r="R420" s="16" t="n"/>
      <c r="S420" s="16" t="n"/>
      <c r="T420" s="16" t="n"/>
      <c r="U420" s="16" t="n"/>
      <c r="V420" s="16" t="n"/>
      <c r="W420" s="16" t="n"/>
      <c r="X420" s="16" t="n"/>
      <c r="Y420" s="16" t="n"/>
      <c r="Z420" s="16" t="n"/>
      <c r="AA420" s="16" t="n"/>
      <c r="AB420" s="18" t="n"/>
      <c r="AC420" s="15">
        <f>IF(A420="","",IF(AB420=_xlfn.MAXIFS('Register'!$AB$6:$AB$505,'Register'!$A$6:$A$505,A420),"Y","N"))</f>
        <v/>
      </c>
      <c r="AD420" s="15">
        <f>IF(A420="","",COUNTIF('Register'!$A$6:$A$505,A420))</f>
        <v/>
      </c>
      <c r="AE420" s="17" t="n"/>
      <c r="AF420" s="16" t="n"/>
      <c r="AG420" s="17" t="n"/>
      <c r="AH420" s="17" t="n"/>
      <c r="AI420" s="19">
        <f>IF(AE420="","",AE420+IF(AF420="",TA_NOC,AF420))</f>
        <v/>
      </c>
      <c r="AJ420" s="15">
        <f>IF(AE420="","",IF(AG420="",DATADATE,AG420)-AE420)</f>
        <v/>
      </c>
      <c r="AK420" s="15">
        <f>IF(OR(AI420="",AG420&lt;&gt;""),"",IF(DATADATE&gt;AI420,"OVERDUE",""))</f>
        <v/>
      </c>
      <c r="AL420" s="15">
        <f>IF(AH420="","",IF(AH420&lt;DATADATE,"EXPIRED",IF(AH420-DATADATE&lt;=WARN_EXP,"EXPIRING","")))</f>
        <v/>
      </c>
      <c r="AM420" s="16" t="n"/>
      <c r="AN420" s="16" t="n"/>
      <c r="AO420" s="16" t="n"/>
      <c r="AP420" s="16" t="n"/>
    </row>
    <row r="421">
      <c r="A421" s="15">
        <f>IF(AA421="","",PROJ&amp;"-NOC-"&amp;Z421&amp;"-"&amp;TEXT(AA421,"0000"))</f>
        <v/>
      </c>
      <c r="B421" s="15">
        <f>IF(AA421="","",PROJ)</f>
        <v/>
      </c>
      <c r="C421" s="16" t="n"/>
      <c r="D421" s="16" t="n"/>
      <c r="E421" s="16" t="n"/>
      <c r="F421" s="16" t="n"/>
      <c r="G421" s="16" t="n"/>
      <c r="H421" s="16" t="n"/>
      <c r="I421" s="16" t="n"/>
      <c r="J421" s="16" t="n"/>
      <c r="K421" s="16" t="n"/>
      <c r="L421" s="16" t="n"/>
      <c r="M421" s="16" t="n"/>
      <c r="N421" s="16" t="n"/>
      <c r="O421" s="17" t="n"/>
      <c r="P421" s="16" t="n"/>
      <c r="Q421" s="16" t="n"/>
      <c r="R421" s="16" t="n"/>
      <c r="S421" s="16" t="n"/>
      <c r="T421" s="16" t="n"/>
      <c r="U421" s="16" t="n"/>
      <c r="V421" s="16" t="n"/>
      <c r="W421" s="16" t="n"/>
      <c r="X421" s="16" t="n"/>
      <c r="Y421" s="16" t="n"/>
      <c r="Z421" s="16" t="n"/>
      <c r="AA421" s="16" t="n"/>
      <c r="AB421" s="18" t="n"/>
      <c r="AC421" s="15">
        <f>IF(A421="","",IF(AB421=_xlfn.MAXIFS('Register'!$AB$6:$AB$505,'Register'!$A$6:$A$505,A421),"Y","N"))</f>
        <v/>
      </c>
      <c r="AD421" s="15">
        <f>IF(A421="","",COUNTIF('Register'!$A$6:$A$505,A421))</f>
        <v/>
      </c>
      <c r="AE421" s="17" t="n"/>
      <c r="AF421" s="16" t="n"/>
      <c r="AG421" s="17" t="n"/>
      <c r="AH421" s="17" t="n"/>
      <c r="AI421" s="19">
        <f>IF(AE421="","",AE421+IF(AF421="",TA_NOC,AF421))</f>
        <v/>
      </c>
      <c r="AJ421" s="15">
        <f>IF(AE421="","",IF(AG421="",DATADATE,AG421)-AE421)</f>
        <v/>
      </c>
      <c r="AK421" s="15">
        <f>IF(OR(AI421="",AG421&lt;&gt;""),"",IF(DATADATE&gt;AI421,"OVERDUE",""))</f>
        <v/>
      </c>
      <c r="AL421" s="15">
        <f>IF(AH421="","",IF(AH421&lt;DATADATE,"EXPIRED",IF(AH421-DATADATE&lt;=WARN_EXP,"EXPIRING","")))</f>
        <v/>
      </c>
      <c r="AM421" s="16" t="n"/>
      <c r="AN421" s="16" t="n"/>
      <c r="AO421" s="16" t="n"/>
      <c r="AP421" s="16" t="n"/>
    </row>
    <row r="422">
      <c r="A422" s="15">
        <f>IF(AA422="","",PROJ&amp;"-NOC-"&amp;Z422&amp;"-"&amp;TEXT(AA422,"0000"))</f>
        <v/>
      </c>
      <c r="B422" s="15">
        <f>IF(AA422="","",PROJ)</f>
        <v/>
      </c>
      <c r="C422" s="16" t="n"/>
      <c r="D422" s="16" t="n"/>
      <c r="E422" s="16" t="n"/>
      <c r="F422" s="16" t="n"/>
      <c r="G422" s="16" t="n"/>
      <c r="H422" s="16" t="n"/>
      <c r="I422" s="16" t="n"/>
      <c r="J422" s="16" t="n"/>
      <c r="K422" s="16" t="n"/>
      <c r="L422" s="16" t="n"/>
      <c r="M422" s="16" t="n"/>
      <c r="N422" s="16" t="n"/>
      <c r="O422" s="17" t="n"/>
      <c r="P422" s="16" t="n"/>
      <c r="Q422" s="16" t="n"/>
      <c r="R422" s="16" t="n"/>
      <c r="S422" s="16" t="n"/>
      <c r="T422" s="16" t="n"/>
      <c r="U422" s="16" t="n"/>
      <c r="V422" s="16" t="n"/>
      <c r="W422" s="16" t="n"/>
      <c r="X422" s="16" t="n"/>
      <c r="Y422" s="16" t="n"/>
      <c r="Z422" s="16" t="n"/>
      <c r="AA422" s="16" t="n"/>
      <c r="AB422" s="18" t="n"/>
      <c r="AC422" s="15">
        <f>IF(A422="","",IF(AB422=_xlfn.MAXIFS('Register'!$AB$6:$AB$505,'Register'!$A$6:$A$505,A422),"Y","N"))</f>
        <v/>
      </c>
      <c r="AD422" s="15">
        <f>IF(A422="","",COUNTIF('Register'!$A$6:$A$505,A422))</f>
        <v/>
      </c>
      <c r="AE422" s="17" t="n"/>
      <c r="AF422" s="16" t="n"/>
      <c r="AG422" s="17" t="n"/>
      <c r="AH422" s="17" t="n"/>
      <c r="AI422" s="19">
        <f>IF(AE422="","",AE422+IF(AF422="",TA_NOC,AF422))</f>
        <v/>
      </c>
      <c r="AJ422" s="15">
        <f>IF(AE422="","",IF(AG422="",DATADATE,AG422)-AE422)</f>
        <v/>
      </c>
      <c r="AK422" s="15">
        <f>IF(OR(AI422="",AG422&lt;&gt;""),"",IF(DATADATE&gt;AI422,"OVERDUE",""))</f>
        <v/>
      </c>
      <c r="AL422" s="15">
        <f>IF(AH422="","",IF(AH422&lt;DATADATE,"EXPIRED",IF(AH422-DATADATE&lt;=WARN_EXP,"EXPIRING","")))</f>
        <v/>
      </c>
      <c r="AM422" s="16" t="n"/>
      <c r="AN422" s="16" t="n"/>
      <c r="AO422" s="16" t="n"/>
      <c r="AP422" s="16" t="n"/>
    </row>
    <row r="423">
      <c r="A423" s="15">
        <f>IF(AA423="","",PROJ&amp;"-NOC-"&amp;Z423&amp;"-"&amp;TEXT(AA423,"0000"))</f>
        <v/>
      </c>
      <c r="B423" s="15">
        <f>IF(AA423="","",PROJ)</f>
        <v/>
      </c>
      <c r="C423" s="16" t="n"/>
      <c r="D423" s="16" t="n"/>
      <c r="E423" s="16" t="n"/>
      <c r="F423" s="16" t="n"/>
      <c r="G423" s="16" t="n"/>
      <c r="H423" s="16" t="n"/>
      <c r="I423" s="16" t="n"/>
      <c r="J423" s="16" t="n"/>
      <c r="K423" s="16" t="n"/>
      <c r="L423" s="16" t="n"/>
      <c r="M423" s="16" t="n"/>
      <c r="N423" s="16" t="n"/>
      <c r="O423" s="17" t="n"/>
      <c r="P423" s="16" t="n"/>
      <c r="Q423" s="16" t="n"/>
      <c r="R423" s="16" t="n"/>
      <c r="S423" s="16" t="n"/>
      <c r="T423" s="16" t="n"/>
      <c r="U423" s="16" t="n"/>
      <c r="V423" s="16" t="n"/>
      <c r="W423" s="16" t="n"/>
      <c r="X423" s="16" t="n"/>
      <c r="Y423" s="16" t="n"/>
      <c r="Z423" s="16" t="n"/>
      <c r="AA423" s="16" t="n"/>
      <c r="AB423" s="18" t="n"/>
      <c r="AC423" s="15">
        <f>IF(A423="","",IF(AB423=_xlfn.MAXIFS('Register'!$AB$6:$AB$505,'Register'!$A$6:$A$505,A423),"Y","N"))</f>
        <v/>
      </c>
      <c r="AD423" s="15">
        <f>IF(A423="","",COUNTIF('Register'!$A$6:$A$505,A423))</f>
        <v/>
      </c>
      <c r="AE423" s="17" t="n"/>
      <c r="AF423" s="16" t="n"/>
      <c r="AG423" s="17" t="n"/>
      <c r="AH423" s="17" t="n"/>
      <c r="AI423" s="19">
        <f>IF(AE423="","",AE423+IF(AF423="",TA_NOC,AF423))</f>
        <v/>
      </c>
      <c r="AJ423" s="15">
        <f>IF(AE423="","",IF(AG423="",DATADATE,AG423)-AE423)</f>
        <v/>
      </c>
      <c r="AK423" s="15">
        <f>IF(OR(AI423="",AG423&lt;&gt;""),"",IF(DATADATE&gt;AI423,"OVERDUE",""))</f>
        <v/>
      </c>
      <c r="AL423" s="15">
        <f>IF(AH423="","",IF(AH423&lt;DATADATE,"EXPIRED",IF(AH423-DATADATE&lt;=WARN_EXP,"EXPIRING","")))</f>
        <v/>
      </c>
      <c r="AM423" s="16" t="n"/>
      <c r="AN423" s="16" t="n"/>
      <c r="AO423" s="16" t="n"/>
      <c r="AP423" s="16" t="n"/>
    </row>
    <row r="424">
      <c r="A424" s="15">
        <f>IF(AA424="","",PROJ&amp;"-NOC-"&amp;Z424&amp;"-"&amp;TEXT(AA424,"0000"))</f>
        <v/>
      </c>
      <c r="B424" s="15">
        <f>IF(AA424="","",PROJ)</f>
        <v/>
      </c>
      <c r="C424" s="16" t="n"/>
      <c r="D424" s="16" t="n"/>
      <c r="E424" s="16" t="n"/>
      <c r="F424" s="16" t="n"/>
      <c r="G424" s="16" t="n"/>
      <c r="H424" s="16" t="n"/>
      <c r="I424" s="16" t="n"/>
      <c r="J424" s="16" t="n"/>
      <c r="K424" s="16" t="n"/>
      <c r="L424" s="16" t="n"/>
      <c r="M424" s="16" t="n"/>
      <c r="N424" s="16" t="n"/>
      <c r="O424" s="17" t="n"/>
      <c r="P424" s="16" t="n"/>
      <c r="Q424" s="16" t="n"/>
      <c r="R424" s="16" t="n"/>
      <c r="S424" s="16" t="n"/>
      <c r="T424" s="16" t="n"/>
      <c r="U424" s="16" t="n"/>
      <c r="V424" s="16" t="n"/>
      <c r="W424" s="16" t="n"/>
      <c r="X424" s="16" t="n"/>
      <c r="Y424" s="16" t="n"/>
      <c r="Z424" s="16" t="n"/>
      <c r="AA424" s="16" t="n"/>
      <c r="AB424" s="18" t="n"/>
      <c r="AC424" s="15">
        <f>IF(A424="","",IF(AB424=_xlfn.MAXIFS('Register'!$AB$6:$AB$505,'Register'!$A$6:$A$505,A424),"Y","N"))</f>
        <v/>
      </c>
      <c r="AD424" s="15">
        <f>IF(A424="","",COUNTIF('Register'!$A$6:$A$505,A424))</f>
        <v/>
      </c>
      <c r="AE424" s="17" t="n"/>
      <c r="AF424" s="16" t="n"/>
      <c r="AG424" s="17" t="n"/>
      <c r="AH424" s="17" t="n"/>
      <c r="AI424" s="19">
        <f>IF(AE424="","",AE424+IF(AF424="",TA_NOC,AF424))</f>
        <v/>
      </c>
      <c r="AJ424" s="15">
        <f>IF(AE424="","",IF(AG424="",DATADATE,AG424)-AE424)</f>
        <v/>
      </c>
      <c r="AK424" s="15">
        <f>IF(OR(AI424="",AG424&lt;&gt;""),"",IF(DATADATE&gt;AI424,"OVERDUE",""))</f>
        <v/>
      </c>
      <c r="AL424" s="15">
        <f>IF(AH424="","",IF(AH424&lt;DATADATE,"EXPIRED",IF(AH424-DATADATE&lt;=WARN_EXP,"EXPIRING","")))</f>
        <v/>
      </c>
      <c r="AM424" s="16" t="n"/>
      <c r="AN424" s="16" t="n"/>
      <c r="AO424" s="16" t="n"/>
      <c r="AP424" s="16" t="n"/>
    </row>
    <row r="425">
      <c r="A425" s="15">
        <f>IF(AA425="","",PROJ&amp;"-NOC-"&amp;Z425&amp;"-"&amp;TEXT(AA425,"0000"))</f>
        <v/>
      </c>
      <c r="B425" s="15">
        <f>IF(AA425="","",PROJ)</f>
        <v/>
      </c>
      <c r="C425" s="16" t="n"/>
      <c r="D425" s="16" t="n"/>
      <c r="E425" s="16" t="n"/>
      <c r="F425" s="16" t="n"/>
      <c r="G425" s="16" t="n"/>
      <c r="H425" s="16" t="n"/>
      <c r="I425" s="16" t="n"/>
      <c r="J425" s="16" t="n"/>
      <c r="K425" s="16" t="n"/>
      <c r="L425" s="16" t="n"/>
      <c r="M425" s="16" t="n"/>
      <c r="N425" s="16" t="n"/>
      <c r="O425" s="17" t="n"/>
      <c r="P425" s="16" t="n"/>
      <c r="Q425" s="16" t="n"/>
      <c r="R425" s="16" t="n"/>
      <c r="S425" s="16" t="n"/>
      <c r="T425" s="16" t="n"/>
      <c r="U425" s="16" t="n"/>
      <c r="V425" s="16" t="n"/>
      <c r="W425" s="16" t="n"/>
      <c r="X425" s="16" t="n"/>
      <c r="Y425" s="16" t="n"/>
      <c r="Z425" s="16" t="n"/>
      <c r="AA425" s="16" t="n"/>
      <c r="AB425" s="18" t="n"/>
      <c r="AC425" s="15">
        <f>IF(A425="","",IF(AB425=_xlfn.MAXIFS('Register'!$AB$6:$AB$505,'Register'!$A$6:$A$505,A425),"Y","N"))</f>
        <v/>
      </c>
      <c r="AD425" s="15">
        <f>IF(A425="","",COUNTIF('Register'!$A$6:$A$505,A425))</f>
        <v/>
      </c>
      <c r="AE425" s="17" t="n"/>
      <c r="AF425" s="16" t="n"/>
      <c r="AG425" s="17" t="n"/>
      <c r="AH425" s="17" t="n"/>
      <c r="AI425" s="19">
        <f>IF(AE425="","",AE425+IF(AF425="",TA_NOC,AF425))</f>
        <v/>
      </c>
      <c r="AJ425" s="15">
        <f>IF(AE425="","",IF(AG425="",DATADATE,AG425)-AE425)</f>
        <v/>
      </c>
      <c r="AK425" s="15">
        <f>IF(OR(AI425="",AG425&lt;&gt;""),"",IF(DATADATE&gt;AI425,"OVERDUE",""))</f>
        <v/>
      </c>
      <c r="AL425" s="15">
        <f>IF(AH425="","",IF(AH425&lt;DATADATE,"EXPIRED",IF(AH425-DATADATE&lt;=WARN_EXP,"EXPIRING","")))</f>
        <v/>
      </c>
      <c r="AM425" s="16" t="n"/>
      <c r="AN425" s="16" t="n"/>
      <c r="AO425" s="16" t="n"/>
      <c r="AP425" s="16" t="n"/>
    </row>
    <row r="426">
      <c r="A426" s="15">
        <f>IF(AA426="","",PROJ&amp;"-NOC-"&amp;Z426&amp;"-"&amp;TEXT(AA426,"0000"))</f>
        <v/>
      </c>
      <c r="B426" s="15">
        <f>IF(AA426="","",PROJ)</f>
        <v/>
      </c>
      <c r="C426" s="16" t="n"/>
      <c r="D426" s="16" t="n"/>
      <c r="E426" s="16" t="n"/>
      <c r="F426" s="16" t="n"/>
      <c r="G426" s="16" t="n"/>
      <c r="H426" s="16" t="n"/>
      <c r="I426" s="16" t="n"/>
      <c r="J426" s="16" t="n"/>
      <c r="K426" s="16" t="n"/>
      <c r="L426" s="16" t="n"/>
      <c r="M426" s="16" t="n"/>
      <c r="N426" s="16" t="n"/>
      <c r="O426" s="17" t="n"/>
      <c r="P426" s="16" t="n"/>
      <c r="Q426" s="16" t="n"/>
      <c r="R426" s="16" t="n"/>
      <c r="S426" s="16" t="n"/>
      <c r="T426" s="16" t="n"/>
      <c r="U426" s="16" t="n"/>
      <c r="V426" s="16" t="n"/>
      <c r="W426" s="16" t="n"/>
      <c r="X426" s="16" t="n"/>
      <c r="Y426" s="16" t="n"/>
      <c r="Z426" s="16" t="n"/>
      <c r="AA426" s="16" t="n"/>
      <c r="AB426" s="18" t="n"/>
      <c r="AC426" s="15">
        <f>IF(A426="","",IF(AB426=_xlfn.MAXIFS('Register'!$AB$6:$AB$505,'Register'!$A$6:$A$505,A426),"Y","N"))</f>
        <v/>
      </c>
      <c r="AD426" s="15">
        <f>IF(A426="","",COUNTIF('Register'!$A$6:$A$505,A426))</f>
        <v/>
      </c>
      <c r="AE426" s="17" t="n"/>
      <c r="AF426" s="16" t="n"/>
      <c r="AG426" s="17" t="n"/>
      <c r="AH426" s="17" t="n"/>
      <c r="AI426" s="19">
        <f>IF(AE426="","",AE426+IF(AF426="",TA_NOC,AF426))</f>
        <v/>
      </c>
      <c r="AJ426" s="15">
        <f>IF(AE426="","",IF(AG426="",DATADATE,AG426)-AE426)</f>
        <v/>
      </c>
      <c r="AK426" s="15">
        <f>IF(OR(AI426="",AG426&lt;&gt;""),"",IF(DATADATE&gt;AI426,"OVERDUE",""))</f>
        <v/>
      </c>
      <c r="AL426" s="15">
        <f>IF(AH426="","",IF(AH426&lt;DATADATE,"EXPIRED",IF(AH426-DATADATE&lt;=WARN_EXP,"EXPIRING","")))</f>
        <v/>
      </c>
      <c r="AM426" s="16" t="n"/>
      <c r="AN426" s="16" t="n"/>
      <c r="AO426" s="16" t="n"/>
      <c r="AP426" s="16" t="n"/>
    </row>
    <row r="427">
      <c r="A427" s="15">
        <f>IF(AA427="","",PROJ&amp;"-NOC-"&amp;Z427&amp;"-"&amp;TEXT(AA427,"0000"))</f>
        <v/>
      </c>
      <c r="B427" s="15">
        <f>IF(AA427="","",PROJ)</f>
        <v/>
      </c>
      <c r="C427" s="16" t="n"/>
      <c r="D427" s="16" t="n"/>
      <c r="E427" s="16" t="n"/>
      <c r="F427" s="16" t="n"/>
      <c r="G427" s="16" t="n"/>
      <c r="H427" s="16" t="n"/>
      <c r="I427" s="16" t="n"/>
      <c r="J427" s="16" t="n"/>
      <c r="K427" s="16" t="n"/>
      <c r="L427" s="16" t="n"/>
      <c r="M427" s="16" t="n"/>
      <c r="N427" s="16" t="n"/>
      <c r="O427" s="17" t="n"/>
      <c r="P427" s="16" t="n"/>
      <c r="Q427" s="16" t="n"/>
      <c r="R427" s="16" t="n"/>
      <c r="S427" s="16" t="n"/>
      <c r="T427" s="16" t="n"/>
      <c r="U427" s="16" t="n"/>
      <c r="V427" s="16" t="n"/>
      <c r="W427" s="16" t="n"/>
      <c r="X427" s="16" t="n"/>
      <c r="Y427" s="16" t="n"/>
      <c r="Z427" s="16" t="n"/>
      <c r="AA427" s="16" t="n"/>
      <c r="AB427" s="18" t="n"/>
      <c r="AC427" s="15">
        <f>IF(A427="","",IF(AB427=_xlfn.MAXIFS('Register'!$AB$6:$AB$505,'Register'!$A$6:$A$505,A427),"Y","N"))</f>
        <v/>
      </c>
      <c r="AD427" s="15">
        <f>IF(A427="","",COUNTIF('Register'!$A$6:$A$505,A427))</f>
        <v/>
      </c>
      <c r="AE427" s="17" t="n"/>
      <c r="AF427" s="16" t="n"/>
      <c r="AG427" s="17" t="n"/>
      <c r="AH427" s="17" t="n"/>
      <c r="AI427" s="19">
        <f>IF(AE427="","",AE427+IF(AF427="",TA_NOC,AF427))</f>
        <v/>
      </c>
      <c r="AJ427" s="15">
        <f>IF(AE427="","",IF(AG427="",DATADATE,AG427)-AE427)</f>
        <v/>
      </c>
      <c r="AK427" s="15">
        <f>IF(OR(AI427="",AG427&lt;&gt;""),"",IF(DATADATE&gt;AI427,"OVERDUE",""))</f>
        <v/>
      </c>
      <c r="AL427" s="15">
        <f>IF(AH427="","",IF(AH427&lt;DATADATE,"EXPIRED",IF(AH427-DATADATE&lt;=WARN_EXP,"EXPIRING","")))</f>
        <v/>
      </c>
      <c r="AM427" s="16" t="n"/>
      <c r="AN427" s="16" t="n"/>
      <c r="AO427" s="16" t="n"/>
      <c r="AP427" s="16" t="n"/>
    </row>
    <row r="428">
      <c r="A428" s="15">
        <f>IF(AA428="","",PROJ&amp;"-NOC-"&amp;Z428&amp;"-"&amp;TEXT(AA428,"0000"))</f>
        <v/>
      </c>
      <c r="B428" s="15">
        <f>IF(AA428="","",PROJ)</f>
        <v/>
      </c>
      <c r="C428" s="16" t="n"/>
      <c r="D428" s="16" t="n"/>
      <c r="E428" s="16" t="n"/>
      <c r="F428" s="16" t="n"/>
      <c r="G428" s="16" t="n"/>
      <c r="H428" s="16" t="n"/>
      <c r="I428" s="16" t="n"/>
      <c r="J428" s="16" t="n"/>
      <c r="K428" s="16" t="n"/>
      <c r="L428" s="16" t="n"/>
      <c r="M428" s="16" t="n"/>
      <c r="N428" s="16" t="n"/>
      <c r="O428" s="17" t="n"/>
      <c r="P428" s="16" t="n"/>
      <c r="Q428" s="16" t="n"/>
      <c r="R428" s="16" t="n"/>
      <c r="S428" s="16" t="n"/>
      <c r="T428" s="16" t="n"/>
      <c r="U428" s="16" t="n"/>
      <c r="V428" s="16" t="n"/>
      <c r="W428" s="16" t="n"/>
      <c r="X428" s="16" t="n"/>
      <c r="Y428" s="16" t="n"/>
      <c r="Z428" s="16" t="n"/>
      <c r="AA428" s="16" t="n"/>
      <c r="AB428" s="18" t="n"/>
      <c r="AC428" s="15">
        <f>IF(A428="","",IF(AB428=_xlfn.MAXIFS('Register'!$AB$6:$AB$505,'Register'!$A$6:$A$505,A428),"Y","N"))</f>
        <v/>
      </c>
      <c r="AD428" s="15">
        <f>IF(A428="","",COUNTIF('Register'!$A$6:$A$505,A428))</f>
        <v/>
      </c>
      <c r="AE428" s="17" t="n"/>
      <c r="AF428" s="16" t="n"/>
      <c r="AG428" s="17" t="n"/>
      <c r="AH428" s="17" t="n"/>
      <c r="AI428" s="19">
        <f>IF(AE428="","",AE428+IF(AF428="",TA_NOC,AF428))</f>
        <v/>
      </c>
      <c r="AJ428" s="15">
        <f>IF(AE428="","",IF(AG428="",DATADATE,AG428)-AE428)</f>
        <v/>
      </c>
      <c r="AK428" s="15">
        <f>IF(OR(AI428="",AG428&lt;&gt;""),"",IF(DATADATE&gt;AI428,"OVERDUE",""))</f>
        <v/>
      </c>
      <c r="AL428" s="15">
        <f>IF(AH428="","",IF(AH428&lt;DATADATE,"EXPIRED",IF(AH428-DATADATE&lt;=WARN_EXP,"EXPIRING","")))</f>
        <v/>
      </c>
      <c r="AM428" s="16" t="n"/>
      <c r="AN428" s="16" t="n"/>
      <c r="AO428" s="16" t="n"/>
      <c r="AP428" s="16" t="n"/>
    </row>
    <row r="429">
      <c r="A429" s="15">
        <f>IF(AA429="","",PROJ&amp;"-NOC-"&amp;Z429&amp;"-"&amp;TEXT(AA429,"0000"))</f>
        <v/>
      </c>
      <c r="B429" s="15">
        <f>IF(AA429="","",PROJ)</f>
        <v/>
      </c>
      <c r="C429" s="16" t="n"/>
      <c r="D429" s="16" t="n"/>
      <c r="E429" s="16" t="n"/>
      <c r="F429" s="16" t="n"/>
      <c r="G429" s="16" t="n"/>
      <c r="H429" s="16" t="n"/>
      <c r="I429" s="16" t="n"/>
      <c r="J429" s="16" t="n"/>
      <c r="K429" s="16" t="n"/>
      <c r="L429" s="16" t="n"/>
      <c r="M429" s="16" t="n"/>
      <c r="N429" s="16" t="n"/>
      <c r="O429" s="17" t="n"/>
      <c r="P429" s="16" t="n"/>
      <c r="Q429" s="16" t="n"/>
      <c r="R429" s="16" t="n"/>
      <c r="S429" s="16" t="n"/>
      <c r="T429" s="16" t="n"/>
      <c r="U429" s="16" t="n"/>
      <c r="V429" s="16" t="n"/>
      <c r="W429" s="16" t="n"/>
      <c r="X429" s="16" t="n"/>
      <c r="Y429" s="16" t="n"/>
      <c r="Z429" s="16" t="n"/>
      <c r="AA429" s="16" t="n"/>
      <c r="AB429" s="18" t="n"/>
      <c r="AC429" s="15">
        <f>IF(A429="","",IF(AB429=_xlfn.MAXIFS('Register'!$AB$6:$AB$505,'Register'!$A$6:$A$505,A429),"Y","N"))</f>
        <v/>
      </c>
      <c r="AD429" s="15">
        <f>IF(A429="","",COUNTIF('Register'!$A$6:$A$505,A429))</f>
        <v/>
      </c>
      <c r="AE429" s="17" t="n"/>
      <c r="AF429" s="16" t="n"/>
      <c r="AG429" s="17" t="n"/>
      <c r="AH429" s="17" t="n"/>
      <c r="AI429" s="19">
        <f>IF(AE429="","",AE429+IF(AF429="",TA_NOC,AF429))</f>
        <v/>
      </c>
      <c r="AJ429" s="15">
        <f>IF(AE429="","",IF(AG429="",DATADATE,AG429)-AE429)</f>
        <v/>
      </c>
      <c r="AK429" s="15">
        <f>IF(OR(AI429="",AG429&lt;&gt;""),"",IF(DATADATE&gt;AI429,"OVERDUE",""))</f>
        <v/>
      </c>
      <c r="AL429" s="15">
        <f>IF(AH429="","",IF(AH429&lt;DATADATE,"EXPIRED",IF(AH429-DATADATE&lt;=WARN_EXP,"EXPIRING","")))</f>
        <v/>
      </c>
      <c r="AM429" s="16" t="n"/>
      <c r="AN429" s="16" t="n"/>
      <c r="AO429" s="16" t="n"/>
      <c r="AP429" s="16" t="n"/>
    </row>
    <row r="430">
      <c r="A430" s="15">
        <f>IF(AA430="","",PROJ&amp;"-NOC-"&amp;Z430&amp;"-"&amp;TEXT(AA430,"0000"))</f>
        <v/>
      </c>
      <c r="B430" s="15">
        <f>IF(AA430="","",PROJ)</f>
        <v/>
      </c>
      <c r="C430" s="16" t="n"/>
      <c r="D430" s="16" t="n"/>
      <c r="E430" s="16" t="n"/>
      <c r="F430" s="16" t="n"/>
      <c r="G430" s="16" t="n"/>
      <c r="H430" s="16" t="n"/>
      <c r="I430" s="16" t="n"/>
      <c r="J430" s="16" t="n"/>
      <c r="K430" s="16" t="n"/>
      <c r="L430" s="16" t="n"/>
      <c r="M430" s="16" t="n"/>
      <c r="N430" s="16" t="n"/>
      <c r="O430" s="17" t="n"/>
      <c r="P430" s="16" t="n"/>
      <c r="Q430" s="16" t="n"/>
      <c r="R430" s="16" t="n"/>
      <c r="S430" s="16" t="n"/>
      <c r="T430" s="16" t="n"/>
      <c r="U430" s="16" t="n"/>
      <c r="V430" s="16" t="n"/>
      <c r="W430" s="16" t="n"/>
      <c r="X430" s="16" t="n"/>
      <c r="Y430" s="16" t="n"/>
      <c r="Z430" s="16" t="n"/>
      <c r="AA430" s="16" t="n"/>
      <c r="AB430" s="18" t="n"/>
      <c r="AC430" s="15">
        <f>IF(A430="","",IF(AB430=_xlfn.MAXIFS('Register'!$AB$6:$AB$505,'Register'!$A$6:$A$505,A430),"Y","N"))</f>
        <v/>
      </c>
      <c r="AD430" s="15">
        <f>IF(A430="","",COUNTIF('Register'!$A$6:$A$505,A430))</f>
        <v/>
      </c>
      <c r="AE430" s="17" t="n"/>
      <c r="AF430" s="16" t="n"/>
      <c r="AG430" s="17" t="n"/>
      <c r="AH430" s="17" t="n"/>
      <c r="AI430" s="19">
        <f>IF(AE430="","",AE430+IF(AF430="",TA_NOC,AF430))</f>
        <v/>
      </c>
      <c r="AJ430" s="15">
        <f>IF(AE430="","",IF(AG430="",DATADATE,AG430)-AE430)</f>
        <v/>
      </c>
      <c r="AK430" s="15">
        <f>IF(OR(AI430="",AG430&lt;&gt;""),"",IF(DATADATE&gt;AI430,"OVERDUE",""))</f>
        <v/>
      </c>
      <c r="AL430" s="15">
        <f>IF(AH430="","",IF(AH430&lt;DATADATE,"EXPIRED",IF(AH430-DATADATE&lt;=WARN_EXP,"EXPIRING","")))</f>
        <v/>
      </c>
      <c r="AM430" s="16" t="n"/>
      <c r="AN430" s="16" t="n"/>
      <c r="AO430" s="16" t="n"/>
      <c r="AP430" s="16" t="n"/>
    </row>
    <row r="431">
      <c r="A431" s="15">
        <f>IF(AA431="","",PROJ&amp;"-NOC-"&amp;Z431&amp;"-"&amp;TEXT(AA431,"0000"))</f>
        <v/>
      </c>
      <c r="B431" s="15">
        <f>IF(AA431="","",PROJ)</f>
        <v/>
      </c>
      <c r="C431" s="16" t="n"/>
      <c r="D431" s="16" t="n"/>
      <c r="E431" s="16" t="n"/>
      <c r="F431" s="16" t="n"/>
      <c r="G431" s="16" t="n"/>
      <c r="H431" s="16" t="n"/>
      <c r="I431" s="16" t="n"/>
      <c r="J431" s="16" t="n"/>
      <c r="K431" s="16" t="n"/>
      <c r="L431" s="16" t="n"/>
      <c r="M431" s="16" t="n"/>
      <c r="N431" s="16" t="n"/>
      <c r="O431" s="17" t="n"/>
      <c r="P431" s="16" t="n"/>
      <c r="Q431" s="16" t="n"/>
      <c r="R431" s="16" t="n"/>
      <c r="S431" s="16" t="n"/>
      <c r="T431" s="16" t="n"/>
      <c r="U431" s="16" t="n"/>
      <c r="V431" s="16" t="n"/>
      <c r="W431" s="16" t="n"/>
      <c r="X431" s="16" t="n"/>
      <c r="Y431" s="16" t="n"/>
      <c r="Z431" s="16" t="n"/>
      <c r="AA431" s="16" t="n"/>
      <c r="AB431" s="18" t="n"/>
      <c r="AC431" s="15">
        <f>IF(A431="","",IF(AB431=_xlfn.MAXIFS('Register'!$AB$6:$AB$505,'Register'!$A$6:$A$505,A431),"Y","N"))</f>
        <v/>
      </c>
      <c r="AD431" s="15">
        <f>IF(A431="","",COUNTIF('Register'!$A$6:$A$505,A431))</f>
        <v/>
      </c>
      <c r="AE431" s="17" t="n"/>
      <c r="AF431" s="16" t="n"/>
      <c r="AG431" s="17" t="n"/>
      <c r="AH431" s="17" t="n"/>
      <c r="AI431" s="19">
        <f>IF(AE431="","",AE431+IF(AF431="",TA_NOC,AF431))</f>
        <v/>
      </c>
      <c r="AJ431" s="15">
        <f>IF(AE431="","",IF(AG431="",DATADATE,AG431)-AE431)</f>
        <v/>
      </c>
      <c r="AK431" s="15">
        <f>IF(OR(AI431="",AG431&lt;&gt;""),"",IF(DATADATE&gt;AI431,"OVERDUE",""))</f>
        <v/>
      </c>
      <c r="AL431" s="15">
        <f>IF(AH431="","",IF(AH431&lt;DATADATE,"EXPIRED",IF(AH431-DATADATE&lt;=WARN_EXP,"EXPIRING","")))</f>
        <v/>
      </c>
      <c r="AM431" s="16" t="n"/>
      <c r="AN431" s="16" t="n"/>
      <c r="AO431" s="16" t="n"/>
      <c r="AP431" s="16" t="n"/>
    </row>
    <row r="432">
      <c r="A432" s="15">
        <f>IF(AA432="","",PROJ&amp;"-NOC-"&amp;Z432&amp;"-"&amp;TEXT(AA432,"0000"))</f>
        <v/>
      </c>
      <c r="B432" s="15">
        <f>IF(AA432="","",PROJ)</f>
        <v/>
      </c>
      <c r="C432" s="16" t="n"/>
      <c r="D432" s="16" t="n"/>
      <c r="E432" s="16" t="n"/>
      <c r="F432" s="16" t="n"/>
      <c r="G432" s="16" t="n"/>
      <c r="H432" s="16" t="n"/>
      <c r="I432" s="16" t="n"/>
      <c r="J432" s="16" t="n"/>
      <c r="K432" s="16" t="n"/>
      <c r="L432" s="16" t="n"/>
      <c r="M432" s="16" t="n"/>
      <c r="N432" s="16" t="n"/>
      <c r="O432" s="17" t="n"/>
      <c r="P432" s="16" t="n"/>
      <c r="Q432" s="16" t="n"/>
      <c r="R432" s="16" t="n"/>
      <c r="S432" s="16" t="n"/>
      <c r="T432" s="16" t="n"/>
      <c r="U432" s="16" t="n"/>
      <c r="V432" s="16" t="n"/>
      <c r="W432" s="16" t="n"/>
      <c r="X432" s="16" t="n"/>
      <c r="Y432" s="16" t="n"/>
      <c r="Z432" s="16" t="n"/>
      <c r="AA432" s="16" t="n"/>
      <c r="AB432" s="18" t="n"/>
      <c r="AC432" s="15">
        <f>IF(A432="","",IF(AB432=_xlfn.MAXIFS('Register'!$AB$6:$AB$505,'Register'!$A$6:$A$505,A432),"Y","N"))</f>
        <v/>
      </c>
      <c r="AD432" s="15">
        <f>IF(A432="","",COUNTIF('Register'!$A$6:$A$505,A432))</f>
        <v/>
      </c>
      <c r="AE432" s="17" t="n"/>
      <c r="AF432" s="16" t="n"/>
      <c r="AG432" s="17" t="n"/>
      <c r="AH432" s="17" t="n"/>
      <c r="AI432" s="19">
        <f>IF(AE432="","",AE432+IF(AF432="",TA_NOC,AF432))</f>
        <v/>
      </c>
      <c r="AJ432" s="15">
        <f>IF(AE432="","",IF(AG432="",DATADATE,AG432)-AE432)</f>
        <v/>
      </c>
      <c r="AK432" s="15">
        <f>IF(OR(AI432="",AG432&lt;&gt;""),"",IF(DATADATE&gt;AI432,"OVERDUE",""))</f>
        <v/>
      </c>
      <c r="AL432" s="15">
        <f>IF(AH432="","",IF(AH432&lt;DATADATE,"EXPIRED",IF(AH432-DATADATE&lt;=WARN_EXP,"EXPIRING","")))</f>
        <v/>
      </c>
      <c r="AM432" s="16" t="n"/>
      <c r="AN432" s="16" t="n"/>
      <c r="AO432" s="16" t="n"/>
      <c r="AP432" s="16" t="n"/>
    </row>
    <row r="433">
      <c r="A433" s="15">
        <f>IF(AA433="","",PROJ&amp;"-NOC-"&amp;Z433&amp;"-"&amp;TEXT(AA433,"0000"))</f>
        <v/>
      </c>
      <c r="B433" s="15">
        <f>IF(AA433="","",PROJ)</f>
        <v/>
      </c>
      <c r="C433" s="16" t="n"/>
      <c r="D433" s="16" t="n"/>
      <c r="E433" s="16" t="n"/>
      <c r="F433" s="16" t="n"/>
      <c r="G433" s="16" t="n"/>
      <c r="H433" s="16" t="n"/>
      <c r="I433" s="16" t="n"/>
      <c r="J433" s="16" t="n"/>
      <c r="K433" s="16" t="n"/>
      <c r="L433" s="16" t="n"/>
      <c r="M433" s="16" t="n"/>
      <c r="N433" s="16" t="n"/>
      <c r="O433" s="17" t="n"/>
      <c r="P433" s="16" t="n"/>
      <c r="Q433" s="16" t="n"/>
      <c r="R433" s="16" t="n"/>
      <c r="S433" s="16" t="n"/>
      <c r="T433" s="16" t="n"/>
      <c r="U433" s="16" t="n"/>
      <c r="V433" s="16" t="n"/>
      <c r="W433" s="16" t="n"/>
      <c r="X433" s="16" t="n"/>
      <c r="Y433" s="16" t="n"/>
      <c r="Z433" s="16" t="n"/>
      <c r="AA433" s="16" t="n"/>
      <c r="AB433" s="18" t="n"/>
      <c r="AC433" s="15">
        <f>IF(A433="","",IF(AB433=_xlfn.MAXIFS('Register'!$AB$6:$AB$505,'Register'!$A$6:$A$505,A433),"Y","N"))</f>
        <v/>
      </c>
      <c r="AD433" s="15">
        <f>IF(A433="","",COUNTIF('Register'!$A$6:$A$505,A433))</f>
        <v/>
      </c>
      <c r="AE433" s="17" t="n"/>
      <c r="AF433" s="16" t="n"/>
      <c r="AG433" s="17" t="n"/>
      <c r="AH433" s="17" t="n"/>
      <c r="AI433" s="19">
        <f>IF(AE433="","",AE433+IF(AF433="",TA_NOC,AF433))</f>
        <v/>
      </c>
      <c r="AJ433" s="15">
        <f>IF(AE433="","",IF(AG433="",DATADATE,AG433)-AE433)</f>
        <v/>
      </c>
      <c r="AK433" s="15">
        <f>IF(OR(AI433="",AG433&lt;&gt;""),"",IF(DATADATE&gt;AI433,"OVERDUE",""))</f>
        <v/>
      </c>
      <c r="AL433" s="15">
        <f>IF(AH433="","",IF(AH433&lt;DATADATE,"EXPIRED",IF(AH433-DATADATE&lt;=WARN_EXP,"EXPIRING","")))</f>
        <v/>
      </c>
      <c r="AM433" s="16" t="n"/>
      <c r="AN433" s="16" t="n"/>
      <c r="AO433" s="16" t="n"/>
      <c r="AP433" s="16" t="n"/>
    </row>
    <row r="434">
      <c r="A434" s="15">
        <f>IF(AA434="","",PROJ&amp;"-NOC-"&amp;Z434&amp;"-"&amp;TEXT(AA434,"0000"))</f>
        <v/>
      </c>
      <c r="B434" s="15">
        <f>IF(AA434="","",PROJ)</f>
        <v/>
      </c>
      <c r="C434" s="16" t="n"/>
      <c r="D434" s="16" t="n"/>
      <c r="E434" s="16" t="n"/>
      <c r="F434" s="16" t="n"/>
      <c r="G434" s="16" t="n"/>
      <c r="H434" s="16" t="n"/>
      <c r="I434" s="16" t="n"/>
      <c r="J434" s="16" t="n"/>
      <c r="K434" s="16" t="n"/>
      <c r="L434" s="16" t="n"/>
      <c r="M434" s="16" t="n"/>
      <c r="N434" s="16" t="n"/>
      <c r="O434" s="17" t="n"/>
      <c r="P434" s="16" t="n"/>
      <c r="Q434" s="16" t="n"/>
      <c r="R434" s="16" t="n"/>
      <c r="S434" s="16" t="n"/>
      <c r="T434" s="16" t="n"/>
      <c r="U434" s="16" t="n"/>
      <c r="V434" s="16" t="n"/>
      <c r="W434" s="16" t="n"/>
      <c r="X434" s="16" t="n"/>
      <c r="Y434" s="16" t="n"/>
      <c r="Z434" s="16" t="n"/>
      <c r="AA434" s="16" t="n"/>
      <c r="AB434" s="18" t="n"/>
      <c r="AC434" s="15">
        <f>IF(A434="","",IF(AB434=_xlfn.MAXIFS('Register'!$AB$6:$AB$505,'Register'!$A$6:$A$505,A434),"Y","N"))</f>
        <v/>
      </c>
      <c r="AD434" s="15">
        <f>IF(A434="","",COUNTIF('Register'!$A$6:$A$505,A434))</f>
        <v/>
      </c>
      <c r="AE434" s="17" t="n"/>
      <c r="AF434" s="16" t="n"/>
      <c r="AG434" s="17" t="n"/>
      <c r="AH434" s="17" t="n"/>
      <c r="AI434" s="19">
        <f>IF(AE434="","",AE434+IF(AF434="",TA_NOC,AF434))</f>
        <v/>
      </c>
      <c r="AJ434" s="15">
        <f>IF(AE434="","",IF(AG434="",DATADATE,AG434)-AE434)</f>
        <v/>
      </c>
      <c r="AK434" s="15">
        <f>IF(OR(AI434="",AG434&lt;&gt;""),"",IF(DATADATE&gt;AI434,"OVERDUE",""))</f>
        <v/>
      </c>
      <c r="AL434" s="15">
        <f>IF(AH434="","",IF(AH434&lt;DATADATE,"EXPIRED",IF(AH434-DATADATE&lt;=WARN_EXP,"EXPIRING","")))</f>
        <v/>
      </c>
      <c r="AM434" s="16" t="n"/>
      <c r="AN434" s="16" t="n"/>
      <c r="AO434" s="16" t="n"/>
      <c r="AP434" s="16" t="n"/>
    </row>
    <row r="435">
      <c r="A435" s="15">
        <f>IF(AA435="","",PROJ&amp;"-NOC-"&amp;Z435&amp;"-"&amp;TEXT(AA435,"0000"))</f>
        <v/>
      </c>
      <c r="B435" s="15">
        <f>IF(AA435="","",PROJ)</f>
        <v/>
      </c>
      <c r="C435" s="16" t="n"/>
      <c r="D435" s="16" t="n"/>
      <c r="E435" s="16" t="n"/>
      <c r="F435" s="16" t="n"/>
      <c r="G435" s="16" t="n"/>
      <c r="H435" s="16" t="n"/>
      <c r="I435" s="16" t="n"/>
      <c r="J435" s="16" t="n"/>
      <c r="K435" s="16" t="n"/>
      <c r="L435" s="16" t="n"/>
      <c r="M435" s="16" t="n"/>
      <c r="N435" s="16" t="n"/>
      <c r="O435" s="17" t="n"/>
      <c r="P435" s="16" t="n"/>
      <c r="Q435" s="16" t="n"/>
      <c r="R435" s="16" t="n"/>
      <c r="S435" s="16" t="n"/>
      <c r="T435" s="16" t="n"/>
      <c r="U435" s="16" t="n"/>
      <c r="V435" s="16" t="n"/>
      <c r="W435" s="16" t="n"/>
      <c r="X435" s="16" t="n"/>
      <c r="Y435" s="16" t="n"/>
      <c r="Z435" s="16" t="n"/>
      <c r="AA435" s="16" t="n"/>
      <c r="AB435" s="18" t="n"/>
      <c r="AC435" s="15">
        <f>IF(A435="","",IF(AB435=_xlfn.MAXIFS('Register'!$AB$6:$AB$505,'Register'!$A$6:$A$505,A435),"Y","N"))</f>
        <v/>
      </c>
      <c r="AD435" s="15">
        <f>IF(A435="","",COUNTIF('Register'!$A$6:$A$505,A435))</f>
        <v/>
      </c>
      <c r="AE435" s="17" t="n"/>
      <c r="AF435" s="16" t="n"/>
      <c r="AG435" s="17" t="n"/>
      <c r="AH435" s="17" t="n"/>
      <c r="AI435" s="19">
        <f>IF(AE435="","",AE435+IF(AF435="",TA_NOC,AF435))</f>
        <v/>
      </c>
      <c r="AJ435" s="15">
        <f>IF(AE435="","",IF(AG435="",DATADATE,AG435)-AE435)</f>
        <v/>
      </c>
      <c r="AK435" s="15">
        <f>IF(OR(AI435="",AG435&lt;&gt;""),"",IF(DATADATE&gt;AI435,"OVERDUE",""))</f>
        <v/>
      </c>
      <c r="AL435" s="15">
        <f>IF(AH435="","",IF(AH435&lt;DATADATE,"EXPIRED",IF(AH435-DATADATE&lt;=WARN_EXP,"EXPIRING","")))</f>
        <v/>
      </c>
      <c r="AM435" s="16" t="n"/>
      <c r="AN435" s="16" t="n"/>
      <c r="AO435" s="16" t="n"/>
      <c r="AP435" s="16" t="n"/>
    </row>
    <row r="436">
      <c r="A436" s="15">
        <f>IF(AA436="","",PROJ&amp;"-NOC-"&amp;Z436&amp;"-"&amp;TEXT(AA436,"0000"))</f>
        <v/>
      </c>
      <c r="B436" s="15">
        <f>IF(AA436="","",PROJ)</f>
        <v/>
      </c>
      <c r="C436" s="16" t="n"/>
      <c r="D436" s="16" t="n"/>
      <c r="E436" s="16" t="n"/>
      <c r="F436" s="16" t="n"/>
      <c r="G436" s="16" t="n"/>
      <c r="H436" s="16" t="n"/>
      <c r="I436" s="16" t="n"/>
      <c r="J436" s="16" t="n"/>
      <c r="K436" s="16" t="n"/>
      <c r="L436" s="16" t="n"/>
      <c r="M436" s="16" t="n"/>
      <c r="N436" s="16" t="n"/>
      <c r="O436" s="17" t="n"/>
      <c r="P436" s="16" t="n"/>
      <c r="Q436" s="16" t="n"/>
      <c r="R436" s="16" t="n"/>
      <c r="S436" s="16" t="n"/>
      <c r="T436" s="16" t="n"/>
      <c r="U436" s="16" t="n"/>
      <c r="V436" s="16" t="n"/>
      <c r="W436" s="16" t="n"/>
      <c r="X436" s="16" t="n"/>
      <c r="Y436" s="16" t="n"/>
      <c r="Z436" s="16" t="n"/>
      <c r="AA436" s="16" t="n"/>
      <c r="AB436" s="18" t="n"/>
      <c r="AC436" s="15">
        <f>IF(A436="","",IF(AB436=_xlfn.MAXIFS('Register'!$AB$6:$AB$505,'Register'!$A$6:$A$505,A436),"Y","N"))</f>
        <v/>
      </c>
      <c r="AD436" s="15">
        <f>IF(A436="","",COUNTIF('Register'!$A$6:$A$505,A436))</f>
        <v/>
      </c>
      <c r="AE436" s="17" t="n"/>
      <c r="AF436" s="16" t="n"/>
      <c r="AG436" s="17" t="n"/>
      <c r="AH436" s="17" t="n"/>
      <c r="AI436" s="19">
        <f>IF(AE436="","",AE436+IF(AF436="",TA_NOC,AF436))</f>
        <v/>
      </c>
      <c r="AJ436" s="15">
        <f>IF(AE436="","",IF(AG436="",DATADATE,AG436)-AE436)</f>
        <v/>
      </c>
      <c r="AK436" s="15">
        <f>IF(OR(AI436="",AG436&lt;&gt;""),"",IF(DATADATE&gt;AI436,"OVERDUE",""))</f>
        <v/>
      </c>
      <c r="AL436" s="15">
        <f>IF(AH436="","",IF(AH436&lt;DATADATE,"EXPIRED",IF(AH436-DATADATE&lt;=WARN_EXP,"EXPIRING","")))</f>
        <v/>
      </c>
      <c r="AM436" s="16" t="n"/>
      <c r="AN436" s="16" t="n"/>
      <c r="AO436" s="16" t="n"/>
      <c r="AP436" s="16" t="n"/>
    </row>
    <row r="437">
      <c r="A437" s="15">
        <f>IF(AA437="","",PROJ&amp;"-NOC-"&amp;Z437&amp;"-"&amp;TEXT(AA437,"0000"))</f>
        <v/>
      </c>
      <c r="B437" s="15">
        <f>IF(AA437="","",PROJ)</f>
        <v/>
      </c>
      <c r="C437" s="16" t="n"/>
      <c r="D437" s="16" t="n"/>
      <c r="E437" s="16" t="n"/>
      <c r="F437" s="16" t="n"/>
      <c r="G437" s="16" t="n"/>
      <c r="H437" s="16" t="n"/>
      <c r="I437" s="16" t="n"/>
      <c r="J437" s="16" t="n"/>
      <c r="K437" s="16" t="n"/>
      <c r="L437" s="16" t="n"/>
      <c r="M437" s="16" t="n"/>
      <c r="N437" s="16" t="n"/>
      <c r="O437" s="17" t="n"/>
      <c r="P437" s="16" t="n"/>
      <c r="Q437" s="16" t="n"/>
      <c r="R437" s="16" t="n"/>
      <c r="S437" s="16" t="n"/>
      <c r="T437" s="16" t="n"/>
      <c r="U437" s="16" t="n"/>
      <c r="V437" s="16" t="n"/>
      <c r="W437" s="16" t="n"/>
      <c r="X437" s="16" t="n"/>
      <c r="Y437" s="16" t="n"/>
      <c r="Z437" s="16" t="n"/>
      <c r="AA437" s="16" t="n"/>
      <c r="AB437" s="18" t="n"/>
      <c r="AC437" s="15">
        <f>IF(A437="","",IF(AB437=_xlfn.MAXIFS('Register'!$AB$6:$AB$505,'Register'!$A$6:$A$505,A437),"Y","N"))</f>
        <v/>
      </c>
      <c r="AD437" s="15">
        <f>IF(A437="","",COUNTIF('Register'!$A$6:$A$505,A437))</f>
        <v/>
      </c>
      <c r="AE437" s="17" t="n"/>
      <c r="AF437" s="16" t="n"/>
      <c r="AG437" s="17" t="n"/>
      <c r="AH437" s="17" t="n"/>
      <c r="AI437" s="19">
        <f>IF(AE437="","",AE437+IF(AF437="",TA_NOC,AF437))</f>
        <v/>
      </c>
      <c r="AJ437" s="15">
        <f>IF(AE437="","",IF(AG437="",DATADATE,AG437)-AE437)</f>
        <v/>
      </c>
      <c r="AK437" s="15">
        <f>IF(OR(AI437="",AG437&lt;&gt;""),"",IF(DATADATE&gt;AI437,"OVERDUE",""))</f>
        <v/>
      </c>
      <c r="AL437" s="15">
        <f>IF(AH437="","",IF(AH437&lt;DATADATE,"EXPIRED",IF(AH437-DATADATE&lt;=WARN_EXP,"EXPIRING","")))</f>
        <v/>
      </c>
      <c r="AM437" s="16" t="n"/>
      <c r="AN437" s="16" t="n"/>
      <c r="AO437" s="16" t="n"/>
      <c r="AP437" s="16" t="n"/>
    </row>
    <row r="438">
      <c r="A438" s="15">
        <f>IF(AA438="","",PROJ&amp;"-NOC-"&amp;Z438&amp;"-"&amp;TEXT(AA438,"0000"))</f>
        <v/>
      </c>
      <c r="B438" s="15">
        <f>IF(AA438="","",PROJ)</f>
        <v/>
      </c>
      <c r="C438" s="16" t="n"/>
      <c r="D438" s="16" t="n"/>
      <c r="E438" s="16" t="n"/>
      <c r="F438" s="16" t="n"/>
      <c r="G438" s="16" t="n"/>
      <c r="H438" s="16" t="n"/>
      <c r="I438" s="16" t="n"/>
      <c r="J438" s="16" t="n"/>
      <c r="K438" s="16" t="n"/>
      <c r="L438" s="16" t="n"/>
      <c r="M438" s="16" t="n"/>
      <c r="N438" s="16" t="n"/>
      <c r="O438" s="17" t="n"/>
      <c r="P438" s="16" t="n"/>
      <c r="Q438" s="16" t="n"/>
      <c r="R438" s="16" t="n"/>
      <c r="S438" s="16" t="n"/>
      <c r="T438" s="16" t="n"/>
      <c r="U438" s="16" t="n"/>
      <c r="V438" s="16" t="n"/>
      <c r="W438" s="16" t="n"/>
      <c r="X438" s="16" t="n"/>
      <c r="Y438" s="16" t="n"/>
      <c r="Z438" s="16" t="n"/>
      <c r="AA438" s="16" t="n"/>
      <c r="AB438" s="18" t="n"/>
      <c r="AC438" s="15">
        <f>IF(A438="","",IF(AB438=_xlfn.MAXIFS('Register'!$AB$6:$AB$505,'Register'!$A$6:$A$505,A438),"Y","N"))</f>
        <v/>
      </c>
      <c r="AD438" s="15">
        <f>IF(A438="","",COUNTIF('Register'!$A$6:$A$505,A438))</f>
        <v/>
      </c>
      <c r="AE438" s="17" t="n"/>
      <c r="AF438" s="16" t="n"/>
      <c r="AG438" s="17" t="n"/>
      <c r="AH438" s="17" t="n"/>
      <c r="AI438" s="19">
        <f>IF(AE438="","",AE438+IF(AF438="",TA_NOC,AF438))</f>
        <v/>
      </c>
      <c r="AJ438" s="15">
        <f>IF(AE438="","",IF(AG438="",DATADATE,AG438)-AE438)</f>
        <v/>
      </c>
      <c r="AK438" s="15">
        <f>IF(OR(AI438="",AG438&lt;&gt;""),"",IF(DATADATE&gt;AI438,"OVERDUE",""))</f>
        <v/>
      </c>
      <c r="AL438" s="15">
        <f>IF(AH438="","",IF(AH438&lt;DATADATE,"EXPIRED",IF(AH438-DATADATE&lt;=WARN_EXP,"EXPIRING","")))</f>
        <v/>
      </c>
      <c r="AM438" s="16" t="n"/>
      <c r="AN438" s="16" t="n"/>
      <c r="AO438" s="16" t="n"/>
      <c r="AP438" s="16" t="n"/>
    </row>
    <row r="439">
      <c r="A439" s="15">
        <f>IF(AA439="","",PROJ&amp;"-NOC-"&amp;Z439&amp;"-"&amp;TEXT(AA439,"0000"))</f>
        <v/>
      </c>
      <c r="B439" s="15">
        <f>IF(AA439="","",PROJ)</f>
        <v/>
      </c>
      <c r="C439" s="16" t="n"/>
      <c r="D439" s="16" t="n"/>
      <c r="E439" s="16" t="n"/>
      <c r="F439" s="16" t="n"/>
      <c r="G439" s="16" t="n"/>
      <c r="H439" s="16" t="n"/>
      <c r="I439" s="16" t="n"/>
      <c r="J439" s="16" t="n"/>
      <c r="K439" s="16" t="n"/>
      <c r="L439" s="16" t="n"/>
      <c r="M439" s="16" t="n"/>
      <c r="N439" s="16" t="n"/>
      <c r="O439" s="17" t="n"/>
      <c r="P439" s="16" t="n"/>
      <c r="Q439" s="16" t="n"/>
      <c r="R439" s="16" t="n"/>
      <c r="S439" s="16" t="n"/>
      <c r="T439" s="16" t="n"/>
      <c r="U439" s="16" t="n"/>
      <c r="V439" s="16" t="n"/>
      <c r="W439" s="16" t="n"/>
      <c r="X439" s="16" t="n"/>
      <c r="Y439" s="16" t="n"/>
      <c r="Z439" s="16" t="n"/>
      <c r="AA439" s="16" t="n"/>
      <c r="AB439" s="18" t="n"/>
      <c r="AC439" s="15">
        <f>IF(A439="","",IF(AB439=_xlfn.MAXIFS('Register'!$AB$6:$AB$505,'Register'!$A$6:$A$505,A439),"Y","N"))</f>
        <v/>
      </c>
      <c r="AD439" s="15">
        <f>IF(A439="","",COUNTIF('Register'!$A$6:$A$505,A439))</f>
        <v/>
      </c>
      <c r="AE439" s="17" t="n"/>
      <c r="AF439" s="16" t="n"/>
      <c r="AG439" s="17" t="n"/>
      <c r="AH439" s="17" t="n"/>
      <c r="AI439" s="19">
        <f>IF(AE439="","",AE439+IF(AF439="",TA_NOC,AF439))</f>
        <v/>
      </c>
      <c r="AJ439" s="15">
        <f>IF(AE439="","",IF(AG439="",DATADATE,AG439)-AE439)</f>
        <v/>
      </c>
      <c r="AK439" s="15">
        <f>IF(OR(AI439="",AG439&lt;&gt;""),"",IF(DATADATE&gt;AI439,"OVERDUE",""))</f>
        <v/>
      </c>
      <c r="AL439" s="15">
        <f>IF(AH439="","",IF(AH439&lt;DATADATE,"EXPIRED",IF(AH439-DATADATE&lt;=WARN_EXP,"EXPIRING","")))</f>
        <v/>
      </c>
      <c r="AM439" s="16" t="n"/>
      <c r="AN439" s="16" t="n"/>
      <c r="AO439" s="16" t="n"/>
      <c r="AP439" s="16" t="n"/>
    </row>
    <row r="440">
      <c r="A440" s="15">
        <f>IF(AA440="","",PROJ&amp;"-NOC-"&amp;Z440&amp;"-"&amp;TEXT(AA440,"0000"))</f>
        <v/>
      </c>
      <c r="B440" s="15">
        <f>IF(AA440="","",PROJ)</f>
        <v/>
      </c>
      <c r="C440" s="16" t="n"/>
      <c r="D440" s="16" t="n"/>
      <c r="E440" s="16" t="n"/>
      <c r="F440" s="16" t="n"/>
      <c r="G440" s="16" t="n"/>
      <c r="H440" s="16" t="n"/>
      <c r="I440" s="16" t="n"/>
      <c r="J440" s="16" t="n"/>
      <c r="K440" s="16" t="n"/>
      <c r="L440" s="16" t="n"/>
      <c r="M440" s="16" t="n"/>
      <c r="N440" s="16" t="n"/>
      <c r="O440" s="17" t="n"/>
      <c r="P440" s="16" t="n"/>
      <c r="Q440" s="16" t="n"/>
      <c r="R440" s="16" t="n"/>
      <c r="S440" s="16" t="n"/>
      <c r="T440" s="16" t="n"/>
      <c r="U440" s="16" t="n"/>
      <c r="V440" s="16" t="n"/>
      <c r="W440" s="16" t="n"/>
      <c r="X440" s="16" t="n"/>
      <c r="Y440" s="16" t="n"/>
      <c r="Z440" s="16" t="n"/>
      <c r="AA440" s="16" t="n"/>
      <c r="AB440" s="18" t="n"/>
      <c r="AC440" s="15">
        <f>IF(A440="","",IF(AB440=_xlfn.MAXIFS('Register'!$AB$6:$AB$505,'Register'!$A$6:$A$505,A440),"Y","N"))</f>
        <v/>
      </c>
      <c r="AD440" s="15">
        <f>IF(A440="","",COUNTIF('Register'!$A$6:$A$505,A440))</f>
        <v/>
      </c>
      <c r="AE440" s="17" t="n"/>
      <c r="AF440" s="16" t="n"/>
      <c r="AG440" s="17" t="n"/>
      <c r="AH440" s="17" t="n"/>
      <c r="AI440" s="19">
        <f>IF(AE440="","",AE440+IF(AF440="",TA_NOC,AF440))</f>
        <v/>
      </c>
      <c r="AJ440" s="15">
        <f>IF(AE440="","",IF(AG440="",DATADATE,AG440)-AE440)</f>
        <v/>
      </c>
      <c r="AK440" s="15">
        <f>IF(OR(AI440="",AG440&lt;&gt;""),"",IF(DATADATE&gt;AI440,"OVERDUE",""))</f>
        <v/>
      </c>
      <c r="AL440" s="15">
        <f>IF(AH440="","",IF(AH440&lt;DATADATE,"EXPIRED",IF(AH440-DATADATE&lt;=WARN_EXP,"EXPIRING","")))</f>
        <v/>
      </c>
      <c r="AM440" s="16" t="n"/>
      <c r="AN440" s="16" t="n"/>
      <c r="AO440" s="16" t="n"/>
      <c r="AP440" s="16" t="n"/>
    </row>
    <row r="441">
      <c r="A441" s="15">
        <f>IF(AA441="","",PROJ&amp;"-NOC-"&amp;Z441&amp;"-"&amp;TEXT(AA441,"0000"))</f>
        <v/>
      </c>
      <c r="B441" s="15">
        <f>IF(AA441="","",PROJ)</f>
        <v/>
      </c>
      <c r="C441" s="16" t="n"/>
      <c r="D441" s="16" t="n"/>
      <c r="E441" s="16" t="n"/>
      <c r="F441" s="16" t="n"/>
      <c r="G441" s="16" t="n"/>
      <c r="H441" s="16" t="n"/>
      <c r="I441" s="16" t="n"/>
      <c r="J441" s="16" t="n"/>
      <c r="K441" s="16" t="n"/>
      <c r="L441" s="16" t="n"/>
      <c r="M441" s="16" t="n"/>
      <c r="N441" s="16" t="n"/>
      <c r="O441" s="17" t="n"/>
      <c r="P441" s="16" t="n"/>
      <c r="Q441" s="16" t="n"/>
      <c r="R441" s="16" t="n"/>
      <c r="S441" s="16" t="n"/>
      <c r="T441" s="16" t="n"/>
      <c r="U441" s="16" t="n"/>
      <c r="V441" s="16" t="n"/>
      <c r="W441" s="16" t="n"/>
      <c r="X441" s="16" t="n"/>
      <c r="Y441" s="16" t="n"/>
      <c r="Z441" s="16" t="n"/>
      <c r="AA441" s="16" t="n"/>
      <c r="AB441" s="18" t="n"/>
      <c r="AC441" s="15">
        <f>IF(A441="","",IF(AB441=_xlfn.MAXIFS('Register'!$AB$6:$AB$505,'Register'!$A$6:$A$505,A441),"Y","N"))</f>
        <v/>
      </c>
      <c r="AD441" s="15">
        <f>IF(A441="","",COUNTIF('Register'!$A$6:$A$505,A441))</f>
        <v/>
      </c>
      <c r="AE441" s="17" t="n"/>
      <c r="AF441" s="16" t="n"/>
      <c r="AG441" s="17" t="n"/>
      <c r="AH441" s="17" t="n"/>
      <c r="AI441" s="19">
        <f>IF(AE441="","",AE441+IF(AF441="",TA_NOC,AF441))</f>
        <v/>
      </c>
      <c r="AJ441" s="15">
        <f>IF(AE441="","",IF(AG441="",DATADATE,AG441)-AE441)</f>
        <v/>
      </c>
      <c r="AK441" s="15">
        <f>IF(OR(AI441="",AG441&lt;&gt;""),"",IF(DATADATE&gt;AI441,"OVERDUE",""))</f>
        <v/>
      </c>
      <c r="AL441" s="15">
        <f>IF(AH441="","",IF(AH441&lt;DATADATE,"EXPIRED",IF(AH441-DATADATE&lt;=WARN_EXP,"EXPIRING","")))</f>
        <v/>
      </c>
      <c r="AM441" s="16" t="n"/>
      <c r="AN441" s="16" t="n"/>
      <c r="AO441" s="16" t="n"/>
      <c r="AP441" s="16" t="n"/>
    </row>
    <row r="442">
      <c r="A442" s="15">
        <f>IF(AA442="","",PROJ&amp;"-NOC-"&amp;Z442&amp;"-"&amp;TEXT(AA442,"0000"))</f>
        <v/>
      </c>
      <c r="B442" s="15">
        <f>IF(AA442="","",PROJ)</f>
        <v/>
      </c>
      <c r="C442" s="16" t="n"/>
      <c r="D442" s="16" t="n"/>
      <c r="E442" s="16" t="n"/>
      <c r="F442" s="16" t="n"/>
      <c r="G442" s="16" t="n"/>
      <c r="H442" s="16" t="n"/>
      <c r="I442" s="16" t="n"/>
      <c r="J442" s="16" t="n"/>
      <c r="K442" s="16" t="n"/>
      <c r="L442" s="16" t="n"/>
      <c r="M442" s="16" t="n"/>
      <c r="N442" s="16" t="n"/>
      <c r="O442" s="17" t="n"/>
      <c r="P442" s="16" t="n"/>
      <c r="Q442" s="16" t="n"/>
      <c r="R442" s="16" t="n"/>
      <c r="S442" s="16" t="n"/>
      <c r="T442" s="16" t="n"/>
      <c r="U442" s="16" t="n"/>
      <c r="V442" s="16" t="n"/>
      <c r="W442" s="16" t="n"/>
      <c r="X442" s="16" t="n"/>
      <c r="Y442" s="16" t="n"/>
      <c r="Z442" s="16" t="n"/>
      <c r="AA442" s="16" t="n"/>
      <c r="AB442" s="18" t="n"/>
      <c r="AC442" s="15">
        <f>IF(A442="","",IF(AB442=_xlfn.MAXIFS('Register'!$AB$6:$AB$505,'Register'!$A$6:$A$505,A442),"Y","N"))</f>
        <v/>
      </c>
      <c r="AD442" s="15">
        <f>IF(A442="","",COUNTIF('Register'!$A$6:$A$505,A442))</f>
        <v/>
      </c>
      <c r="AE442" s="17" t="n"/>
      <c r="AF442" s="16" t="n"/>
      <c r="AG442" s="17" t="n"/>
      <c r="AH442" s="17" t="n"/>
      <c r="AI442" s="19">
        <f>IF(AE442="","",AE442+IF(AF442="",TA_NOC,AF442))</f>
        <v/>
      </c>
      <c r="AJ442" s="15">
        <f>IF(AE442="","",IF(AG442="",DATADATE,AG442)-AE442)</f>
        <v/>
      </c>
      <c r="AK442" s="15">
        <f>IF(OR(AI442="",AG442&lt;&gt;""),"",IF(DATADATE&gt;AI442,"OVERDUE",""))</f>
        <v/>
      </c>
      <c r="AL442" s="15">
        <f>IF(AH442="","",IF(AH442&lt;DATADATE,"EXPIRED",IF(AH442-DATADATE&lt;=WARN_EXP,"EXPIRING","")))</f>
        <v/>
      </c>
      <c r="AM442" s="16" t="n"/>
      <c r="AN442" s="16" t="n"/>
      <c r="AO442" s="16" t="n"/>
      <c r="AP442" s="16" t="n"/>
    </row>
    <row r="443">
      <c r="A443" s="15">
        <f>IF(AA443="","",PROJ&amp;"-NOC-"&amp;Z443&amp;"-"&amp;TEXT(AA443,"0000"))</f>
        <v/>
      </c>
      <c r="B443" s="15">
        <f>IF(AA443="","",PROJ)</f>
        <v/>
      </c>
      <c r="C443" s="16" t="n"/>
      <c r="D443" s="16" t="n"/>
      <c r="E443" s="16" t="n"/>
      <c r="F443" s="16" t="n"/>
      <c r="G443" s="16" t="n"/>
      <c r="H443" s="16" t="n"/>
      <c r="I443" s="16" t="n"/>
      <c r="J443" s="16" t="n"/>
      <c r="K443" s="16" t="n"/>
      <c r="L443" s="16" t="n"/>
      <c r="M443" s="16" t="n"/>
      <c r="N443" s="16" t="n"/>
      <c r="O443" s="17" t="n"/>
      <c r="P443" s="16" t="n"/>
      <c r="Q443" s="16" t="n"/>
      <c r="R443" s="16" t="n"/>
      <c r="S443" s="16" t="n"/>
      <c r="T443" s="16" t="n"/>
      <c r="U443" s="16" t="n"/>
      <c r="V443" s="16" t="n"/>
      <c r="W443" s="16" t="n"/>
      <c r="X443" s="16" t="n"/>
      <c r="Y443" s="16" t="n"/>
      <c r="Z443" s="16" t="n"/>
      <c r="AA443" s="16" t="n"/>
      <c r="AB443" s="18" t="n"/>
      <c r="AC443" s="15">
        <f>IF(A443="","",IF(AB443=_xlfn.MAXIFS('Register'!$AB$6:$AB$505,'Register'!$A$6:$A$505,A443),"Y","N"))</f>
        <v/>
      </c>
      <c r="AD443" s="15">
        <f>IF(A443="","",COUNTIF('Register'!$A$6:$A$505,A443))</f>
        <v/>
      </c>
      <c r="AE443" s="17" t="n"/>
      <c r="AF443" s="16" t="n"/>
      <c r="AG443" s="17" t="n"/>
      <c r="AH443" s="17" t="n"/>
      <c r="AI443" s="19">
        <f>IF(AE443="","",AE443+IF(AF443="",TA_NOC,AF443))</f>
        <v/>
      </c>
      <c r="AJ443" s="15">
        <f>IF(AE443="","",IF(AG443="",DATADATE,AG443)-AE443)</f>
        <v/>
      </c>
      <c r="AK443" s="15">
        <f>IF(OR(AI443="",AG443&lt;&gt;""),"",IF(DATADATE&gt;AI443,"OVERDUE",""))</f>
        <v/>
      </c>
      <c r="AL443" s="15">
        <f>IF(AH443="","",IF(AH443&lt;DATADATE,"EXPIRED",IF(AH443-DATADATE&lt;=WARN_EXP,"EXPIRING","")))</f>
        <v/>
      </c>
      <c r="AM443" s="16" t="n"/>
      <c r="AN443" s="16" t="n"/>
      <c r="AO443" s="16" t="n"/>
      <c r="AP443" s="16" t="n"/>
    </row>
    <row r="444">
      <c r="A444" s="15">
        <f>IF(AA444="","",PROJ&amp;"-NOC-"&amp;Z444&amp;"-"&amp;TEXT(AA444,"0000"))</f>
        <v/>
      </c>
      <c r="B444" s="15">
        <f>IF(AA444="","",PROJ)</f>
        <v/>
      </c>
      <c r="C444" s="16" t="n"/>
      <c r="D444" s="16" t="n"/>
      <c r="E444" s="16" t="n"/>
      <c r="F444" s="16" t="n"/>
      <c r="G444" s="16" t="n"/>
      <c r="H444" s="16" t="n"/>
      <c r="I444" s="16" t="n"/>
      <c r="J444" s="16" t="n"/>
      <c r="K444" s="16" t="n"/>
      <c r="L444" s="16" t="n"/>
      <c r="M444" s="16" t="n"/>
      <c r="N444" s="16" t="n"/>
      <c r="O444" s="17" t="n"/>
      <c r="P444" s="16" t="n"/>
      <c r="Q444" s="16" t="n"/>
      <c r="R444" s="16" t="n"/>
      <c r="S444" s="16" t="n"/>
      <c r="T444" s="16" t="n"/>
      <c r="U444" s="16" t="n"/>
      <c r="V444" s="16" t="n"/>
      <c r="W444" s="16" t="n"/>
      <c r="X444" s="16" t="n"/>
      <c r="Y444" s="16" t="n"/>
      <c r="Z444" s="16" t="n"/>
      <c r="AA444" s="16" t="n"/>
      <c r="AB444" s="18" t="n"/>
      <c r="AC444" s="15">
        <f>IF(A444="","",IF(AB444=_xlfn.MAXIFS('Register'!$AB$6:$AB$505,'Register'!$A$6:$A$505,A444),"Y","N"))</f>
        <v/>
      </c>
      <c r="AD444" s="15">
        <f>IF(A444="","",COUNTIF('Register'!$A$6:$A$505,A444))</f>
        <v/>
      </c>
      <c r="AE444" s="17" t="n"/>
      <c r="AF444" s="16" t="n"/>
      <c r="AG444" s="17" t="n"/>
      <c r="AH444" s="17" t="n"/>
      <c r="AI444" s="19">
        <f>IF(AE444="","",AE444+IF(AF444="",TA_NOC,AF444))</f>
        <v/>
      </c>
      <c r="AJ444" s="15">
        <f>IF(AE444="","",IF(AG444="",DATADATE,AG444)-AE444)</f>
        <v/>
      </c>
      <c r="AK444" s="15">
        <f>IF(OR(AI444="",AG444&lt;&gt;""),"",IF(DATADATE&gt;AI444,"OVERDUE",""))</f>
        <v/>
      </c>
      <c r="AL444" s="15">
        <f>IF(AH444="","",IF(AH444&lt;DATADATE,"EXPIRED",IF(AH444-DATADATE&lt;=WARN_EXP,"EXPIRING","")))</f>
        <v/>
      </c>
      <c r="AM444" s="16" t="n"/>
      <c r="AN444" s="16" t="n"/>
      <c r="AO444" s="16" t="n"/>
      <c r="AP444" s="16" t="n"/>
    </row>
    <row r="445">
      <c r="A445" s="15">
        <f>IF(AA445="","",PROJ&amp;"-NOC-"&amp;Z445&amp;"-"&amp;TEXT(AA445,"0000"))</f>
        <v/>
      </c>
      <c r="B445" s="15">
        <f>IF(AA445="","",PROJ)</f>
        <v/>
      </c>
      <c r="C445" s="16" t="n"/>
      <c r="D445" s="16" t="n"/>
      <c r="E445" s="16" t="n"/>
      <c r="F445" s="16" t="n"/>
      <c r="G445" s="16" t="n"/>
      <c r="H445" s="16" t="n"/>
      <c r="I445" s="16" t="n"/>
      <c r="J445" s="16" t="n"/>
      <c r="K445" s="16" t="n"/>
      <c r="L445" s="16" t="n"/>
      <c r="M445" s="16" t="n"/>
      <c r="N445" s="16" t="n"/>
      <c r="O445" s="17" t="n"/>
      <c r="P445" s="16" t="n"/>
      <c r="Q445" s="16" t="n"/>
      <c r="R445" s="16" t="n"/>
      <c r="S445" s="16" t="n"/>
      <c r="T445" s="16" t="n"/>
      <c r="U445" s="16" t="n"/>
      <c r="V445" s="16" t="n"/>
      <c r="W445" s="16" t="n"/>
      <c r="X445" s="16" t="n"/>
      <c r="Y445" s="16" t="n"/>
      <c r="Z445" s="16" t="n"/>
      <c r="AA445" s="16" t="n"/>
      <c r="AB445" s="18" t="n"/>
      <c r="AC445" s="15">
        <f>IF(A445="","",IF(AB445=_xlfn.MAXIFS('Register'!$AB$6:$AB$505,'Register'!$A$6:$A$505,A445),"Y","N"))</f>
        <v/>
      </c>
      <c r="AD445" s="15">
        <f>IF(A445="","",COUNTIF('Register'!$A$6:$A$505,A445))</f>
        <v/>
      </c>
      <c r="AE445" s="17" t="n"/>
      <c r="AF445" s="16" t="n"/>
      <c r="AG445" s="17" t="n"/>
      <c r="AH445" s="17" t="n"/>
      <c r="AI445" s="19">
        <f>IF(AE445="","",AE445+IF(AF445="",TA_NOC,AF445))</f>
        <v/>
      </c>
      <c r="AJ445" s="15">
        <f>IF(AE445="","",IF(AG445="",DATADATE,AG445)-AE445)</f>
        <v/>
      </c>
      <c r="AK445" s="15">
        <f>IF(OR(AI445="",AG445&lt;&gt;""),"",IF(DATADATE&gt;AI445,"OVERDUE",""))</f>
        <v/>
      </c>
      <c r="AL445" s="15">
        <f>IF(AH445="","",IF(AH445&lt;DATADATE,"EXPIRED",IF(AH445-DATADATE&lt;=WARN_EXP,"EXPIRING","")))</f>
        <v/>
      </c>
      <c r="AM445" s="16" t="n"/>
      <c r="AN445" s="16" t="n"/>
      <c r="AO445" s="16" t="n"/>
      <c r="AP445" s="16" t="n"/>
    </row>
    <row r="446">
      <c r="A446" s="15">
        <f>IF(AA446="","",PROJ&amp;"-NOC-"&amp;Z446&amp;"-"&amp;TEXT(AA446,"0000"))</f>
        <v/>
      </c>
      <c r="B446" s="15">
        <f>IF(AA446="","",PROJ)</f>
        <v/>
      </c>
      <c r="C446" s="16" t="n"/>
      <c r="D446" s="16" t="n"/>
      <c r="E446" s="16" t="n"/>
      <c r="F446" s="16" t="n"/>
      <c r="G446" s="16" t="n"/>
      <c r="H446" s="16" t="n"/>
      <c r="I446" s="16" t="n"/>
      <c r="J446" s="16" t="n"/>
      <c r="K446" s="16" t="n"/>
      <c r="L446" s="16" t="n"/>
      <c r="M446" s="16" t="n"/>
      <c r="N446" s="16" t="n"/>
      <c r="O446" s="17" t="n"/>
      <c r="P446" s="16" t="n"/>
      <c r="Q446" s="16" t="n"/>
      <c r="R446" s="16" t="n"/>
      <c r="S446" s="16" t="n"/>
      <c r="T446" s="16" t="n"/>
      <c r="U446" s="16" t="n"/>
      <c r="V446" s="16" t="n"/>
      <c r="W446" s="16" t="n"/>
      <c r="X446" s="16" t="n"/>
      <c r="Y446" s="16" t="n"/>
      <c r="Z446" s="16" t="n"/>
      <c r="AA446" s="16" t="n"/>
      <c r="AB446" s="18" t="n"/>
      <c r="AC446" s="15">
        <f>IF(A446="","",IF(AB446=_xlfn.MAXIFS('Register'!$AB$6:$AB$505,'Register'!$A$6:$A$505,A446),"Y","N"))</f>
        <v/>
      </c>
      <c r="AD446" s="15">
        <f>IF(A446="","",COUNTIF('Register'!$A$6:$A$505,A446))</f>
        <v/>
      </c>
      <c r="AE446" s="17" t="n"/>
      <c r="AF446" s="16" t="n"/>
      <c r="AG446" s="17" t="n"/>
      <c r="AH446" s="17" t="n"/>
      <c r="AI446" s="19">
        <f>IF(AE446="","",AE446+IF(AF446="",TA_NOC,AF446))</f>
        <v/>
      </c>
      <c r="AJ446" s="15">
        <f>IF(AE446="","",IF(AG446="",DATADATE,AG446)-AE446)</f>
        <v/>
      </c>
      <c r="AK446" s="15">
        <f>IF(OR(AI446="",AG446&lt;&gt;""),"",IF(DATADATE&gt;AI446,"OVERDUE",""))</f>
        <v/>
      </c>
      <c r="AL446" s="15">
        <f>IF(AH446="","",IF(AH446&lt;DATADATE,"EXPIRED",IF(AH446-DATADATE&lt;=WARN_EXP,"EXPIRING","")))</f>
        <v/>
      </c>
      <c r="AM446" s="16" t="n"/>
      <c r="AN446" s="16" t="n"/>
      <c r="AO446" s="16" t="n"/>
      <c r="AP446" s="16" t="n"/>
    </row>
    <row r="447">
      <c r="A447" s="15">
        <f>IF(AA447="","",PROJ&amp;"-NOC-"&amp;Z447&amp;"-"&amp;TEXT(AA447,"0000"))</f>
        <v/>
      </c>
      <c r="B447" s="15">
        <f>IF(AA447="","",PROJ)</f>
        <v/>
      </c>
      <c r="C447" s="16" t="n"/>
      <c r="D447" s="16" t="n"/>
      <c r="E447" s="16" t="n"/>
      <c r="F447" s="16" t="n"/>
      <c r="G447" s="16" t="n"/>
      <c r="H447" s="16" t="n"/>
      <c r="I447" s="16" t="n"/>
      <c r="J447" s="16" t="n"/>
      <c r="K447" s="16" t="n"/>
      <c r="L447" s="16" t="n"/>
      <c r="M447" s="16" t="n"/>
      <c r="N447" s="16" t="n"/>
      <c r="O447" s="17" t="n"/>
      <c r="P447" s="16" t="n"/>
      <c r="Q447" s="16" t="n"/>
      <c r="R447" s="16" t="n"/>
      <c r="S447" s="16" t="n"/>
      <c r="T447" s="16" t="n"/>
      <c r="U447" s="16" t="n"/>
      <c r="V447" s="16" t="n"/>
      <c r="W447" s="16" t="n"/>
      <c r="X447" s="16" t="n"/>
      <c r="Y447" s="16" t="n"/>
      <c r="Z447" s="16" t="n"/>
      <c r="AA447" s="16" t="n"/>
      <c r="AB447" s="18" t="n"/>
      <c r="AC447" s="15">
        <f>IF(A447="","",IF(AB447=_xlfn.MAXIFS('Register'!$AB$6:$AB$505,'Register'!$A$6:$A$505,A447),"Y","N"))</f>
        <v/>
      </c>
      <c r="AD447" s="15">
        <f>IF(A447="","",COUNTIF('Register'!$A$6:$A$505,A447))</f>
        <v/>
      </c>
      <c r="AE447" s="17" t="n"/>
      <c r="AF447" s="16" t="n"/>
      <c r="AG447" s="17" t="n"/>
      <c r="AH447" s="17" t="n"/>
      <c r="AI447" s="19">
        <f>IF(AE447="","",AE447+IF(AF447="",TA_NOC,AF447))</f>
        <v/>
      </c>
      <c r="AJ447" s="15">
        <f>IF(AE447="","",IF(AG447="",DATADATE,AG447)-AE447)</f>
        <v/>
      </c>
      <c r="AK447" s="15">
        <f>IF(OR(AI447="",AG447&lt;&gt;""),"",IF(DATADATE&gt;AI447,"OVERDUE",""))</f>
        <v/>
      </c>
      <c r="AL447" s="15">
        <f>IF(AH447="","",IF(AH447&lt;DATADATE,"EXPIRED",IF(AH447-DATADATE&lt;=WARN_EXP,"EXPIRING","")))</f>
        <v/>
      </c>
      <c r="AM447" s="16" t="n"/>
      <c r="AN447" s="16" t="n"/>
      <c r="AO447" s="16" t="n"/>
      <c r="AP447" s="16" t="n"/>
    </row>
    <row r="448">
      <c r="A448" s="15">
        <f>IF(AA448="","",PROJ&amp;"-NOC-"&amp;Z448&amp;"-"&amp;TEXT(AA448,"0000"))</f>
        <v/>
      </c>
      <c r="B448" s="15">
        <f>IF(AA448="","",PROJ)</f>
        <v/>
      </c>
      <c r="C448" s="16" t="n"/>
      <c r="D448" s="16" t="n"/>
      <c r="E448" s="16" t="n"/>
      <c r="F448" s="16" t="n"/>
      <c r="G448" s="16" t="n"/>
      <c r="H448" s="16" t="n"/>
      <c r="I448" s="16" t="n"/>
      <c r="J448" s="16" t="n"/>
      <c r="K448" s="16" t="n"/>
      <c r="L448" s="16" t="n"/>
      <c r="M448" s="16" t="n"/>
      <c r="N448" s="16" t="n"/>
      <c r="O448" s="17" t="n"/>
      <c r="P448" s="16" t="n"/>
      <c r="Q448" s="16" t="n"/>
      <c r="R448" s="16" t="n"/>
      <c r="S448" s="16" t="n"/>
      <c r="T448" s="16" t="n"/>
      <c r="U448" s="16" t="n"/>
      <c r="V448" s="16" t="n"/>
      <c r="W448" s="16" t="n"/>
      <c r="X448" s="16" t="n"/>
      <c r="Y448" s="16" t="n"/>
      <c r="Z448" s="16" t="n"/>
      <c r="AA448" s="16" t="n"/>
      <c r="AB448" s="18" t="n"/>
      <c r="AC448" s="15">
        <f>IF(A448="","",IF(AB448=_xlfn.MAXIFS('Register'!$AB$6:$AB$505,'Register'!$A$6:$A$505,A448),"Y","N"))</f>
        <v/>
      </c>
      <c r="AD448" s="15">
        <f>IF(A448="","",COUNTIF('Register'!$A$6:$A$505,A448))</f>
        <v/>
      </c>
      <c r="AE448" s="17" t="n"/>
      <c r="AF448" s="16" t="n"/>
      <c r="AG448" s="17" t="n"/>
      <c r="AH448" s="17" t="n"/>
      <c r="AI448" s="19">
        <f>IF(AE448="","",AE448+IF(AF448="",TA_NOC,AF448))</f>
        <v/>
      </c>
      <c r="AJ448" s="15">
        <f>IF(AE448="","",IF(AG448="",DATADATE,AG448)-AE448)</f>
        <v/>
      </c>
      <c r="AK448" s="15">
        <f>IF(OR(AI448="",AG448&lt;&gt;""),"",IF(DATADATE&gt;AI448,"OVERDUE",""))</f>
        <v/>
      </c>
      <c r="AL448" s="15">
        <f>IF(AH448="","",IF(AH448&lt;DATADATE,"EXPIRED",IF(AH448-DATADATE&lt;=WARN_EXP,"EXPIRING","")))</f>
        <v/>
      </c>
      <c r="AM448" s="16" t="n"/>
      <c r="AN448" s="16" t="n"/>
      <c r="AO448" s="16" t="n"/>
      <c r="AP448" s="16" t="n"/>
    </row>
    <row r="449">
      <c r="A449" s="15">
        <f>IF(AA449="","",PROJ&amp;"-NOC-"&amp;Z449&amp;"-"&amp;TEXT(AA449,"0000"))</f>
        <v/>
      </c>
      <c r="B449" s="15">
        <f>IF(AA449="","",PROJ)</f>
        <v/>
      </c>
      <c r="C449" s="16" t="n"/>
      <c r="D449" s="16" t="n"/>
      <c r="E449" s="16" t="n"/>
      <c r="F449" s="16" t="n"/>
      <c r="G449" s="16" t="n"/>
      <c r="H449" s="16" t="n"/>
      <c r="I449" s="16" t="n"/>
      <c r="J449" s="16" t="n"/>
      <c r="K449" s="16" t="n"/>
      <c r="L449" s="16" t="n"/>
      <c r="M449" s="16" t="n"/>
      <c r="N449" s="16" t="n"/>
      <c r="O449" s="17" t="n"/>
      <c r="P449" s="16" t="n"/>
      <c r="Q449" s="16" t="n"/>
      <c r="R449" s="16" t="n"/>
      <c r="S449" s="16" t="n"/>
      <c r="T449" s="16" t="n"/>
      <c r="U449" s="16" t="n"/>
      <c r="V449" s="16" t="n"/>
      <c r="W449" s="16" t="n"/>
      <c r="X449" s="16" t="n"/>
      <c r="Y449" s="16" t="n"/>
      <c r="Z449" s="16" t="n"/>
      <c r="AA449" s="16" t="n"/>
      <c r="AB449" s="18" t="n"/>
      <c r="AC449" s="15">
        <f>IF(A449="","",IF(AB449=_xlfn.MAXIFS('Register'!$AB$6:$AB$505,'Register'!$A$6:$A$505,A449),"Y","N"))</f>
        <v/>
      </c>
      <c r="AD449" s="15">
        <f>IF(A449="","",COUNTIF('Register'!$A$6:$A$505,A449))</f>
        <v/>
      </c>
      <c r="AE449" s="17" t="n"/>
      <c r="AF449" s="16" t="n"/>
      <c r="AG449" s="17" t="n"/>
      <c r="AH449" s="17" t="n"/>
      <c r="AI449" s="19">
        <f>IF(AE449="","",AE449+IF(AF449="",TA_NOC,AF449))</f>
        <v/>
      </c>
      <c r="AJ449" s="15">
        <f>IF(AE449="","",IF(AG449="",DATADATE,AG449)-AE449)</f>
        <v/>
      </c>
      <c r="AK449" s="15">
        <f>IF(OR(AI449="",AG449&lt;&gt;""),"",IF(DATADATE&gt;AI449,"OVERDUE",""))</f>
        <v/>
      </c>
      <c r="AL449" s="15">
        <f>IF(AH449="","",IF(AH449&lt;DATADATE,"EXPIRED",IF(AH449-DATADATE&lt;=WARN_EXP,"EXPIRING","")))</f>
        <v/>
      </c>
      <c r="AM449" s="16" t="n"/>
      <c r="AN449" s="16" t="n"/>
      <c r="AO449" s="16" t="n"/>
      <c r="AP449" s="16" t="n"/>
    </row>
    <row r="450">
      <c r="A450" s="15">
        <f>IF(AA450="","",PROJ&amp;"-NOC-"&amp;Z450&amp;"-"&amp;TEXT(AA450,"0000"))</f>
        <v/>
      </c>
      <c r="B450" s="15">
        <f>IF(AA450="","",PROJ)</f>
        <v/>
      </c>
      <c r="C450" s="16" t="n"/>
      <c r="D450" s="16" t="n"/>
      <c r="E450" s="16" t="n"/>
      <c r="F450" s="16" t="n"/>
      <c r="G450" s="16" t="n"/>
      <c r="H450" s="16" t="n"/>
      <c r="I450" s="16" t="n"/>
      <c r="J450" s="16" t="n"/>
      <c r="K450" s="16" t="n"/>
      <c r="L450" s="16" t="n"/>
      <c r="M450" s="16" t="n"/>
      <c r="N450" s="16" t="n"/>
      <c r="O450" s="17" t="n"/>
      <c r="P450" s="16" t="n"/>
      <c r="Q450" s="16" t="n"/>
      <c r="R450" s="16" t="n"/>
      <c r="S450" s="16" t="n"/>
      <c r="T450" s="16" t="n"/>
      <c r="U450" s="16" t="n"/>
      <c r="V450" s="16" t="n"/>
      <c r="W450" s="16" t="n"/>
      <c r="X450" s="16" t="n"/>
      <c r="Y450" s="16" t="n"/>
      <c r="Z450" s="16" t="n"/>
      <c r="AA450" s="16" t="n"/>
      <c r="AB450" s="18" t="n"/>
      <c r="AC450" s="15">
        <f>IF(A450="","",IF(AB450=_xlfn.MAXIFS('Register'!$AB$6:$AB$505,'Register'!$A$6:$A$505,A450),"Y","N"))</f>
        <v/>
      </c>
      <c r="AD450" s="15">
        <f>IF(A450="","",COUNTIF('Register'!$A$6:$A$505,A450))</f>
        <v/>
      </c>
      <c r="AE450" s="17" t="n"/>
      <c r="AF450" s="16" t="n"/>
      <c r="AG450" s="17" t="n"/>
      <c r="AH450" s="17" t="n"/>
      <c r="AI450" s="19">
        <f>IF(AE450="","",AE450+IF(AF450="",TA_NOC,AF450))</f>
        <v/>
      </c>
      <c r="AJ450" s="15">
        <f>IF(AE450="","",IF(AG450="",DATADATE,AG450)-AE450)</f>
        <v/>
      </c>
      <c r="AK450" s="15">
        <f>IF(OR(AI450="",AG450&lt;&gt;""),"",IF(DATADATE&gt;AI450,"OVERDUE",""))</f>
        <v/>
      </c>
      <c r="AL450" s="15">
        <f>IF(AH450="","",IF(AH450&lt;DATADATE,"EXPIRED",IF(AH450-DATADATE&lt;=WARN_EXP,"EXPIRING","")))</f>
        <v/>
      </c>
      <c r="AM450" s="16" t="n"/>
      <c r="AN450" s="16" t="n"/>
      <c r="AO450" s="16" t="n"/>
      <c r="AP450" s="16" t="n"/>
    </row>
    <row r="451">
      <c r="A451" s="15">
        <f>IF(AA451="","",PROJ&amp;"-NOC-"&amp;Z451&amp;"-"&amp;TEXT(AA451,"0000"))</f>
        <v/>
      </c>
      <c r="B451" s="15">
        <f>IF(AA451="","",PROJ)</f>
        <v/>
      </c>
      <c r="C451" s="16" t="n"/>
      <c r="D451" s="16" t="n"/>
      <c r="E451" s="16" t="n"/>
      <c r="F451" s="16" t="n"/>
      <c r="G451" s="16" t="n"/>
      <c r="H451" s="16" t="n"/>
      <c r="I451" s="16" t="n"/>
      <c r="J451" s="16" t="n"/>
      <c r="K451" s="16" t="n"/>
      <c r="L451" s="16" t="n"/>
      <c r="M451" s="16" t="n"/>
      <c r="N451" s="16" t="n"/>
      <c r="O451" s="17" t="n"/>
      <c r="P451" s="16" t="n"/>
      <c r="Q451" s="16" t="n"/>
      <c r="R451" s="16" t="n"/>
      <c r="S451" s="16" t="n"/>
      <c r="T451" s="16" t="n"/>
      <c r="U451" s="16" t="n"/>
      <c r="V451" s="16" t="n"/>
      <c r="W451" s="16" t="n"/>
      <c r="X451" s="16" t="n"/>
      <c r="Y451" s="16" t="n"/>
      <c r="Z451" s="16" t="n"/>
      <c r="AA451" s="16" t="n"/>
      <c r="AB451" s="18" t="n"/>
      <c r="AC451" s="15">
        <f>IF(A451="","",IF(AB451=_xlfn.MAXIFS('Register'!$AB$6:$AB$505,'Register'!$A$6:$A$505,A451),"Y","N"))</f>
        <v/>
      </c>
      <c r="AD451" s="15">
        <f>IF(A451="","",COUNTIF('Register'!$A$6:$A$505,A451))</f>
        <v/>
      </c>
      <c r="AE451" s="17" t="n"/>
      <c r="AF451" s="16" t="n"/>
      <c r="AG451" s="17" t="n"/>
      <c r="AH451" s="17" t="n"/>
      <c r="AI451" s="19">
        <f>IF(AE451="","",AE451+IF(AF451="",TA_NOC,AF451))</f>
        <v/>
      </c>
      <c r="AJ451" s="15">
        <f>IF(AE451="","",IF(AG451="",DATADATE,AG451)-AE451)</f>
        <v/>
      </c>
      <c r="AK451" s="15">
        <f>IF(OR(AI451="",AG451&lt;&gt;""),"",IF(DATADATE&gt;AI451,"OVERDUE",""))</f>
        <v/>
      </c>
      <c r="AL451" s="15">
        <f>IF(AH451="","",IF(AH451&lt;DATADATE,"EXPIRED",IF(AH451-DATADATE&lt;=WARN_EXP,"EXPIRING","")))</f>
        <v/>
      </c>
      <c r="AM451" s="16" t="n"/>
      <c r="AN451" s="16" t="n"/>
      <c r="AO451" s="16" t="n"/>
      <c r="AP451" s="16" t="n"/>
    </row>
    <row r="452">
      <c r="A452" s="15">
        <f>IF(AA452="","",PROJ&amp;"-NOC-"&amp;Z452&amp;"-"&amp;TEXT(AA452,"0000"))</f>
        <v/>
      </c>
      <c r="B452" s="15">
        <f>IF(AA452="","",PROJ)</f>
        <v/>
      </c>
      <c r="C452" s="16" t="n"/>
      <c r="D452" s="16" t="n"/>
      <c r="E452" s="16" t="n"/>
      <c r="F452" s="16" t="n"/>
      <c r="G452" s="16" t="n"/>
      <c r="H452" s="16" t="n"/>
      <c r="I452" s="16" t="n"/>
      <c r="J452" s="16" t="n"/>
      <c r="K452" s="16" t="n"/>
      <c r="L452" s="16" t="n"/>
      <c r="M452" s="16" t="n"/>
      <c r="N452" s="16" t="n"/>
      <c r="O452" s="17" t="n"/>
      <c r="P452" s="16" t="n"/>
      <c r="Q452" s="16" t="n"/>
      <c r="R452" s="16" t="n"/>
      <c r="S452" s="16" t="n"/>
      <c r="T452" s="16" t="n"/>
      <c r="U452" s="16" t="n"/>
      <c r="V452" s="16" t="n"/>
      <c r="W452" s="16" t="n"/>
      <c r="X452" s="16" t="n"/>
      <c r="Y452" s="16" t="n"/>
      <c r="Z452" s="16" t="n"/>
      <c r="AA452" s="16" t="n"/>
      <c r="AB452" s="18" t="n"/>
      <c r="AC452" s="15">
        <f>IF(A452="","",IF(AB452=_xlfn.MAXIFS('Register'!$AB$6:$AB$505,'Register'!$A$6:$A$505,A452),"Y","N"))</f>
        <v/>
      </c>
      <c r="AD452" s="15">
        <f>IF(A452="","",COUNTIF('Register'!$A$6:$A$505,A452))</f>
        <v/>
      </c>
      <c r="AE452" s="17" t="n"/>
      <c r="AF452" s="16" t="n"/>
      <c r="AG452" s="17" t="n"/>
      <c r="AH452" s="17" t="n"/>
      <c r="AI452" s="19">
        <f>IF(AE452="","",AE452+IF(AF452="",TA_NOC,AF452))</f>
        <v/>
      </c>
      <c r="AJ452" s="15">
        <f>IF(AE452="","",IF(AG452="",DATADATE,AG452)-AE452)</f>
        <v/>
      </c>
      <c r="AK452" s="15">
        <f>IF(OR(AI452="",AG452&lt;&gt;""),"",IF(DATADATE&gt;AI452,"OVERDUE",""))</f>
        <v/>
      </c>
      <c r="AL452" s="15">
        <f>IF(AH452="","",IF(AH452&lt;DATADATE,"EXPIRED",IF(AH452-DATADATE&lt;=WARN_EXP,"EXPIRING","")))</f>
        <v/>
      </c>
      <c r="AM452" s="16" t="n"/>
      <c r="AN452" s="16" t="n"/>
      <c r="AO452" s="16" t="n"/>
      <c r="AP452" s="16" t="n"/>
    </row>
    <row r="453">
      <c r="A453" s="15">
        <f>IF(AA453="","",PROJ&amp;"-NOC-"&amp;Z453&amp;"-"&amp;TEXT(AA453,"0000"))</f>
        <v/>
      </c>
      <c r="B453" s="15">
        <f>IF(AA453="","",PROJ)</f>
        <v/>
      </c>
      <c r="C453" s="16" t="n"/>
      <c r="D453" s="16" t="n"/>
      <c r="E453" s="16" t="n"/>
      <c r="F453" s="16" t="n"/>
      <c r="G453" s="16" t="n"/>
      <c r="H453" s="16" t="n"/>
      <c r="I453" s="16" t="n"/>
      <c r="J453" s="16" t="n"/>
      <c r="K453" s="16" t="n"/>
      <c r="L453" s="16" t="n"/>
      <c r="M453" s="16" t="n"/>
      <c r="N453" s="16" t="n"/>
      <c r="O453" s="17" t="n"/>
      <c r="P453" s="16" t="n"/>
      <c r="Q453" s="16" t="n"/>
      <c r="R453" s="16" t="n"/>
      <c r="S453" s="16" t="n"/>
      <c r="T453" s="16" t="n"/>
      <c r="U453" s="16" t="n"/>
      <c r="V453" s="16" t="n"/>
      <c r="W453" s="16" t="n"/>
      <c r="X453" s="16" t="n"/>
      <c r="Y453" s="16" t="n"/>
      <c r="Z453" s="16" t="n"/>
      <c r="AA453" s="16" t="n"/>
      <c r="AB453" s="18" t="n"/>
      <c r="AC453" s="15">
        <f>IF(A453="","",IF(AB453=_xlfn.MAXIFS('Register'!$AB$6:$AB$505,'Register'!$A$6:$A$505,A453),"Y","N"))</f>
        <v/>
      </c>
      <c r="AD453" s="15">
        <f>IF(A453="","",COUNTIF('Register'!$A$6:$A$505,A453))</f>
        <v/>
      </c>
      <c r="AE453" s="17" t="n"/>
      <c r="AF453" s="16" t="n"/>
      <c r="AG453" s="17" t="n"/>
      <c r="AH453" s="17" t="n"/>
      <c r="AI453" s="19">
        <f>IF(AE453="","",AE453+IF(AF453="",TA_NOC,AF453))</f>
        <v/>
      </c>
      <c r="AJ453" s="15">
        <f>IF(AE453="","",IF(AG453="",DATADATE,AG453)-AE453)</f>
        <v/>
      </c>
      <c r="AK453" s="15">
        <f>IF(OR(AI453="",AG453&lt;&gt;""),"",IF(DATADATE&gt;AI453,"OVERDUE",""))</f>
        <v/>
      </c>
      <c r="AL453" s="15">
        <f>IF(AH453="","",IF(AH453&lt;DATADATE,"EXPIRED",IF(AH453-DATADATE&lt;=WARN_EXP,"EXPIRING","")))</f>
        <v/>
      </c>
      <c r="AM453" s="16" t="n"/>
      <c r="AN453" s="16" t="n"/>
      <c r="AO453" s="16" t="n"/>
      <c r="AP453" s="16" t="n"/>
    </row>
    <row r="454">
      <c r="A454" s="15">
        <f>IF(AA454="","",PROJ&amp;"-NOC-"&amp;Z454&amp;"-"&amp;TEXT(AA454,"0000"))</f>
        <v/>
      </c>
      <c r="B454" s="15">
        <f>IF(AA454="","",PROJ)</f>
        <v/>
      </c>
      <c r="C454" s="16" t="n"/>
      <c r="D454" s="16" t="n"/>
      <c r="E454" s="16" t="n"/>
      <c r="F454" s="16" t="n"/>
      <c r="G454" s="16" t="n"/>
      <c r="H454" s="16" t="n"/>
      <c r="I454" s="16" t="n"/>
      <c r="J454" s="16" t="n"/>
      <c r="K454" s="16" t="n"/>
      <c r="L454" s="16" t="n"/>
      <c r="M454" s="16" t="n"/>
      <c r="N454" s="16" t="n"/>
      <c r="O454" s="17" t="n"/>
      <c r="P454" s="16" t="n"/>
      <c r="Q454" s="16" t="n"/>
      <c r="R454" s="16" t="n"/>
      <c r="S454" s="16" t="n"/>
      <c r="T454" s="16" t="n"/>
      <c r="U454" s="16" t="n"/>
      <c r="V454" s="16" t="n"/>
      <c r="W454" s="16" t="n"/>
      <c r="X454" s="16" t="n"/>
      <c r="Y454" s="16" t="n"/>
      <c r="Z454" s="16" t="n"/>
      <c r="AA454" s="16" t="n"/>
      <c r="AB454" s="18" t="n"/>
      <c r="AC454" s="15">
        <f>IF(A454="","",IF(AB454=_xlfn.MAXIFS('Register'!$AB$6:$AB$505,'Register'!$A$6:$A$505,A454),"Y","N"))</f>
        <v/>
      </c>
      <c r="AD454" s="15">
        <f>IF(A454="","",COUNTIF('Register'!$A$6:$A$505,A454))</f>
        <v/>
      </c>
      <c r="AE454" s="17" t="n"/>
      <c r="AF454" s="16" t="n"/>
      <c r="AG454" s="17" t="n"/>
      <c r="AH454" s="17" t="n"/>
      <c r="AI454" s="19">
        <f>IF(AE454="","",AE454+IF(AF454="",TA_NOC,AF454))</f>
        <v/>
      </c>
      <c r="AJ454" s="15">
        <f>IF(AE454="","",IF(AG454="",DATADATE,AG454)-AE454)</f>
        <v/>
      </c>
      <c r="AK454" s="15">
        <f>IF(OR(AI454="",AG454&lt;&gt;""),"",IF(DATADATE&gt;AI454,"OVERDUE",""))</f>
        <v/>
      </c>
      <c r="AL454" s="15">
        <f>IF(AH454="","",IF(AH454&lt;DATADATE,"EXPIRED",IF(AH454-DATADATE&lt;=WARN_EXP,"EXPIRING","")))</f>
        <v/>
      </c>
      <c r="AM454" s="16" t="n"/>
      <c r="AN454" s="16" t="n"/>
      <c r="AO454" s="16" t="n"/>
      <c r="AP454" s="16" t="n"/>
    </row>
    <row r="455">
      <c r="A455" s="15">
        <f>IF(AA455="","",PROJ&amp;"-NOC-"&amp;Z455&amp;"-"&amp;TEXT(AA455,"0000"))</f>
        <v/>
      </c>
      <c r="B455" s="15">
        <f>IF(AA455="","",PROJ)</f>
        <v/>
      </c>
      <c r="C455" s="16" t="n"/>
      <c r="D455" s="16" t="n"/>
      <c r="E455" s="16" t="n"/>
      <c r="F455" s="16" t="n"/>
      <c r="G455" s="16" t="n"/>
      <c r="H455" s="16" t="n"/>
      <c r="I455" s="16" t="n"/>
      <c r="J455" s="16" t="n"/>
      <c r="K455" s="16" t="n"/>
      <c r="L455" s="16" t="n"/>
      <c r="M455" s="16" t="n"/>
      <c r="N455" s="16" t="n"/>
      <c r="O455" s="17" t="n"/>
      <c r="P455" s="16" t="n"/>
      <c r="Q455" s="16" t="n"/>
      <c r="R455" s="16" t="n"/>
      <c r="S455" s="16" t="n"/>
      <c r="T455" s="16" t="n"/>
      <c r="U455" s="16" t="n"/>
      <c r="V455" s="16" t="n"/>
      <c r="W455" s="16" t="n"/>
      <c r="X455" s="16" t="n"/>
      <c r="Y455" s="16" t="n"/>
      <c r="Z455" s="16" t="n"/>
      <c r="AA455" s="16" t="n"/>
      <c r="AB455" s="18" t="n"/>
      <c r="AC455" s="15">
        <f>IF(A455="","",IF(AB455=_xlfn.MAXIFS('Register'!$AB$6:$AB$505,'Register'!$A$6:$A$505,A455),"Y","N"))</f>
        <v/>
      </c>
      <c r="AD455" s="15">
        <f>IF(A455="","",COUNTIF('Register'!$A$6:$A$505,A455))</f>
        <v/>
      </c>
      <c r="AE455" s="17" t="n"/>
      <c r="AF455" s="16" t="n"/>
      <c r="AG455" s="17" t="n"/>
      <c r="AH455" s="17" t="n"/>
      <c r="AI455" s="19">
        <f>IF(AE455="","",AE455+IF(AF455="",TA_NOC,AF455))</f>
        <v/>
      </c>
      <c r="AJ455" s="15">
        <f>IF(AE455="","",IF(AG455="",DATADATE,AG455)-AE455)</f>
        <v/>
      </c>
      <c r="AK455" s="15">
        <f>IF(OR(AI455="",AG455&lt;&gt;""),"",IF(DATADATE&gt;AI455,"OVERDUE",""))</f>
        <v/>
      </c>
      <c r="AL455" s="15">
        <f>IF(AH455="","",IF(AH455&lt;DATADATE,"EXPIRED",IF(AH455-DATADATE&lt;=WARN_EXP,"EXPIRING","")))</f>
        <v/>
      </c>
      <c r="AM455" s="16" t="n"/>
      <c r="AN455" s="16" t="n"/>
      <c r="AO455" s="16" t="n"/>
      <c r="AP455" s="16" t="n"/>
    </row>
    <row r="456">
      <c r="A456" s="15">
        <f>IF(AA456="","",PROJ&amp;"-NOC-"&amp;Z456&amp;"-"&amp;TEXT(AA456,"0000"))</f>
        <v/>
      </c>
      <c r="B456" s="15">
        <f>IF(AA456="","",PROJ)</f>
        <v/>
      </c>
      <c r="C456" s="16" t="n"/>
      <c r="D456" s="16" t="n"/>
      <c r="E456" s="16" t="n"/>
      <c r="F456" s="16" t="n"/>
      <c r="G456" s="16" t="n"/>
      <c r="H456" s="16" t="n"/>
      <c r="I456" s="16" t="n"/>
      <c r="J456" s="16" t="n"/>
      <c r="K456" s="16" t="n"/>
      <c r="L456" s="16" t="n"/>
      <c r="M456" s="16" t="n"/>
      <c r="N456" s="16" t="n"/>
      <c r="O456" s="17" t="n"/>
      <c r="P456" s="16" t="n"/>
      <c r="Q456" s="16" t="n"/>
      <c r="R456" s="16" t="n"/>
      <c r="S456" s="16" t="n"/>
      <c r="T456" s="16" t="n"/>
      <c r="U456" s="16" t="n"/>
      <c r="V456" s="16" t="n"/>
      <c r="W456" s="16" t="n"/>
      <c r="X456" s="16" t="n"/>
      <c r="Y456" s="16" t="n"/>
      <c r="Z456" s="16" t="n"/>
      <c r="AA456" s="16" t="n"/>
      <c r="AB456" s="18" t="n"/>
      <c r="AC456" s="15">
        <f>IF(A456="","",IF(AB456=_xlfn.MAXIFS('Register'!$AB$6:$AB$505,'Register'!$A$6:$A$505,A456),"Y","N"))</f>
        <v/>
      </c>
      <c r="AD456" s="15">
        <f>IF(A456="","",COUNTIF('Register'!$A$6:$A$505,A456))</f>
        <v/>
      </c>
      <c r="AE456" s="17" t="n"/>
      <c r="AF456" s="16" t="n"/>
      <c r="AG456" s="17" t="n"/>
      <c r="AH456" s="17" t="n"/>
      <c r="AI456" s="19">
        <f>IF(AE456="","",AE456+IF(AF456="",TA_NOC,AF456))</f>
        <v/>
      </c>
      <c r="AJ456" s="15">
        <f>IF(AE456="","",IF(AG456="",DATADATE,AG456)-AE456)</f>
        <v/>
      </c>
      <c r="AK456" s="15">
        <f>IF(OR(AI456="",AG456&lt;&gt;""),"",IF(DATADATE&gt;AI456,"OVERDUE",""))</f>
        <v/>
      </c>
      <c r="AL456" s="15">
        <f>IF(AH456="","",IF(AH456&lt;DATADATE,"EXPIRED",IF(AH456-DATADATE&lt;=WARN_EXP,"EXPIRING","")))</f>
        <v/>
      </c>
      <c r="AM456" s="16" t="n"/>
      <c r="AN456" s="16" t="n"/>
      <c r="AO456" s="16" t="n"/>
      <c r="AP456" s="16" t="n"/>
    </row>
    <row r="457">
      <c r="A457" s="15">
        <f>IF(AA457="","",PROJ&amp;"-NOC-"&amp;Z457&amp;"-"&amp;TEXT(AA457,"0000"))</f>
        <v/>
      </c>
      <c r="B457" s="15">
        <f>IF(AA457="","",PROJ)</f>
        <v/>
      </c>
      <c r="C457" s="16" t="n"/>
      <c r="D457" s="16" t="n"/>
      <c r="E457" s="16" t="n"/>
      <c r="F457" s="16" t="n"/>
      <c r="G457" s="16" t="n"/>
      <c r="H457" s="16" t="n"/>
      <c r="I457" s="16" t="n"/>
      <c r="J457" s="16" t="n"/>
      <c r="K457" s="16" t="n"/>
      <c r="L457" s="16" t="n"/>
      <c r="M457" s="16" t="n"/>
      <c r="N457" s="16" t="n"/>
      <c r="O457" s="17" t="n"/>
      <c r="P457" s="16" t="n"/>
      <c r="Q457" s="16" t="n"/>
      <c r="R457" s="16" t="n"/>
      <c r="S457" s="16" t="n"/>
      <c r="T457" s="16" t="n"/>
      <c r="U457" s="16" t="n"/>
      <c r="V457" s="16" t="n"/>
      <c r="W457" s="16" t="n"/>
      <c r="X457" s="16" t="n"/>
      <c r="Y457" s="16" t="n"/>
      <c r="Z457" s="16" t="n"/>
      <c r="AA457" s="16" t="n"/>
      <c r="AB457" s="18" t="n"/>
      <c r="AC457" s="15">
        <f>IF(A457="","",IF(AB457=_xlfn.MAXIFS('Register'!$AB$6:$AB$505,'Register'!$A$6:$A$505,A457),"Y","N"))</f>
        <v/>
      </c>
      <c r="AD457" s="15">
        <f>IF(A457="","",COUNTIF('Register'!$A$6:$A$505,A457))</f>
        <v/>
      </c>
      <c r="AE457" s="17" t="n"/>
      <c r="AF457" s="16" t="n"/>
      <c r="AG457" s="17" t="n"/>
      <c r="AH457" s="17" t="n"/>
      <c r="AI457" s="19">
        <f>IF(AE457="","",AE457+IF(AF457="",TA_NOC,AF457))</f>
        <v/>
      </c>
      <c r="AJ457" s="15">
        <f>IF(AE457="","",IF(AG457="",DATADATE,AG457)-AE457)</f>
        <v/>
      </c>
      <c r="AK457" s="15">
        <f>IF(OR(AI457="",AG457&lt;&gt;""),"",IF(DATADATE&gt;AI457,"OVERDUE",""))</f>
        <v/>
      </c>
      <c r="AL457" s="15">
        <f>IF(AH457="","",IF(AH457&lt;DATADATE,"EXPIRED",IF(AH457-DATADATE&lt;=WARN_EXP,"EXPIRING","")))</f>
        <v/>
      </c>
      <c r="AM457" s="16" t="n"/>
      <c r="AN457" s="16" t="n"/>
      <c r="AO457" s="16" t="n"/>
      <c r="AP457" s="16" t="n"/>
    </row>
    <row r="458">
      <c r="A458" s="15">
        <f>IF(AA458="","",PROJ&amp;"-NOC-"&amp;Z458&amp;"-"&amp;TEXT(AA458,"0000"))</f>
        <v/>
      </c>
      <c r="B458" s="15">
        <f>IF(AA458="","",PROJ)</f>
        <v/>
      </c>
      <c r="C458" s="16" t="n"/>
      <c r="D458" s="16" t="n"/>
      <c r="E458" s="16" t="n"/>
      <c r="F458" s="16" t="n"/>
      <c r="G458" s="16" t="n"/>
      <c r="H458" s="16" t="n"/>
      <c r="I458" s="16" t="n"/>
      <c r="J458" s="16" t="n"/>
      <c r="K458" s="16" t="n"/>
      <c r="L458" s="16" t="n"/>
      <c r="M458" s="16" t="n"/>
      <c r="N458" s="16" t="n"/>
      <c r="O458" s="17" t="n"/>
      <c r="P458" s="16" t="n"/>
      <c r="Q458" s="16" t="n"/>
      <c r="R458" s="16" t="n"/>
      <c r="S458" s="16" t="n"/>
      <c r="T458" s="16" t="n"/>
      <c r="U458" s="16" t="n"/>
      <c r="V458" s="16" t="n"/>
      <c r="W458" s="16" t="n"/>
      <c r="X458" s="16" t="n"/>
      <c r="Y458" s="16" t="n"/>
      <c r="Z458" s="16" t="n"/>
      <c r="AA458" s="16" t="n"/>
      <c r="AB458" s="18" t="n"/>
      <c r="AC458" s="15">
        <f>IF(A458="","",IF(AB458=_xlfn.MAXIFS('Register'!$AB$6:$AB$505,'Register'!$A$6:$A$505,A458),"Y","N"))</f>
        <v/>
      </c>
      <c r="AD458" s="15">
        <f>IF(A458="","",COUNTIF('Register'!$A$6:$A$505,A458))</f>
        <v/>
      </c>
      <c r="AE458" s="17" t="n"/>
      <c r="AF458" s="16" t="n"/>
      <c r="AG458" s="17" t="n"/>
      <c r="AH458" s="17" t="n"/>
      <c r="AI458" s="19">
        <f>IF(AE458="","",AE458+IF(AF458="",TA_NOC,AF458))</f>
        <v/>
      </c>
      <c r="AJ458" s="15">
        <f>IF(AE458="","",IF(AG458="",DATADATE,AG458)-AE458)</f>
        <v/>
      </c>
      <c r="AK458" s="15">
        <f>IF(OR(AI458="",AG458&lt;&gt;""),"",IF(DATADATE&gt;AI458,"OVERDUE",""))</f>
        <v/>
      </c>
      <c r="AL458" s="15">
        <f>IF(AH458="","",IF(AH458&lt;DATADATE,"EXPIRED",IF(AH458-DATADATE&lt;=WARN_EXP,"EXPIRING","")))</f>
        <v/>
      </c>
      <c r="AM458" s="16" t="n"/>
      <c r="AN458" s="16" t="n"/>
      <c r="AO458" s="16" t="n"/>
      <c r="AP458" s="16" t="n"/>
    </row>
    <row r="459">
      <c r="A459" s="15">
        <f>IF(AA459="","",PROJ&amp;"-NOC-"&amp;Z459&amp;"-"&amp;TEXT(AA459,"0000"))</f>
        <v/>
      </c>
      <c r="B459" s="15">
        <f>IF(AA459="","",PROJ)</f>
        <v/>
      </c>
      <c r="C459" s="16" t="n"/>
      <c r="D459" s="16" t="n"/>
      <c r="E459" s="16" t="n"/>
      <c r="F459" s="16" t="n"/>
      <c r="G459" s="16" t="n"/>
      <c r="H459" s="16" t="n"/>
      <c r="I459" s="16" t="n"/>
      <c r="J459" s="16" t="n"/>
      <c r="K459" s="16" t="n"/>
      <c r="L459" s="16" t="n"/>
      <c r="M459" s="16" t="n"/>
      <c r="N459" s="16" t="n"/>
      <c r="O459" s="17" t="n"/>
      <c r="P459" s="16" t="n"/>
      <c r="Q459" s="16" t="n"/>
      <c r="R459" s="16" t="n"/>
      <c r="S459" s="16" t="n"/>
      <c r="T459" s="16" t="n"/>
      <c r="U459" s="16" t="n"/>
      <c r="V459" s="16" t="n"/>
      <c r="W459" s="16" t="n"/>
      <c r="X459" s="16" t="n"/>
      <c r="Y459" s="16" t="n"/>
      <c r="Z459" s="16" t="n"/>
      <c r="AA459" s="16" t="n"/>
      <c r="AB459" s="18" t="n"/>
      <c r="AC459" s="15">
        <f>IF(A459="","",IF(AB459=_xlfn.MAXIFS('Register'!$AB$6:$AB$505,'Register'!$A$6:$A$505,A459),"Y","N"))</f>
        <v/>
      </c>
      <c r="AD459" s="15">
        <f>IF(A459="","",COUNTIF('Register'!$A$6:$A$505,A459))</f>
        <v/>
      </c>
      <c r="AE459" s="17" t="n"/>
      <c r="AF459" s="16" t="n"/>
      <c r="AG459" s="17" t="n"/>
      <c r="AH459" s="17" t="n"/>
      <c r="AI459" s="19">
        <f>IF(AE459="","",AE459+IF(AF459="",TA_NOC,AF459))</f>
        <v/>
      </c>
      <c r="AJ459" s="15">
        <f>IF(AE459="","",IF(AG459="",DATADATE,AG459)-AE459)</f>
        <v/>
      </c>
      <c r="AK459" s="15">
        <f>IF(OR(AI459="",AG459&lt;&gt;""),"",IF(DATADATE&gt;AI459,"OVERDUE",""))</f>
        <v/>
      </c>
      <c r="AL459" s="15">
        <f>IF(AH459="","",IF(AH459&lt;DATADATE,"EXPIRED",IF(AH459-DATADATE&lt;=WARN_EXP,"EXPIRING","")))</f>
        <v/>
      </c>
      <c r="AM459" s="16" t="n"/>
      <c r="AN459" s="16" t="n"/>
      <c r="AO459" s="16" t="n"/>
      <c r="AP459" s="16" t="n"/>
    </row>
    <row r="460">
      <c r="A460" s="15">
        <f>IF(AA460="","",PROJ&amp;"-NOC-"&amp;Z460&amp;"-"&amp;TEXT(AA460,"0000"))</f>
        <v/>
      </c>
      <c r="B460" s="15">
        <f>IF(AA460="","",PROJ)</f>
        <v/>
      </c>
      <c r="C460" s="16" t="n"/>
      <c r="D460" s="16" t="n"/>
      <c r="E460" s="16" t="n"/>
      <c r="F460" s="16" t="n"/>
      <c r="G460" s="16" t="n"/>
      <c r="H460" s="16" t="n"/>
      <c r="I460" s="16" t="n"/>
      <c r="J460" s="16" t="n"/>
      <c r="K460" s="16" t="n"/>
      <c r="L460" s="16" t="n"/>
      <c r="M460" s="16" t="n"/>
      <c r="N460" s="16" t="n"/>
      <c r="O460" s="17" t="n"/>
      <c r="P460" s="16" t="n"/>
      <c r="Q460" s="16" t="n"/>
      <c r="R460" s="16" t="n"/>
      <c r="S460" s="16" t="n"/>
      <c r="T460" s="16" t="n"/>
      <c r="U460" s="16" t="n"/>
      <c r="V460" s="16" t="n"/>
      <c r="W460" s="16" t="n"/>
      <c r="X460" s="16" t="n"/>
      <c r="Y460" s="16" t="n"/>
      <c r="Z460" s="16" t="n"/>
      <c r="AA460" s="16" t="n"/>
      <c r="AB460" s="18" t="n"/>
      <c r="AC460" s="15">
        <f>IF(A460="","",IF(AB460=_xlfn.MAXIFS('Register'!$AB$6:$AB$505,'Register'!$A$6:$A$505,A460),"Y","N"))</f>
        <v/>
      </c>
      <c r="AD460" s="15">
        <f>IF(A460="","",COUNTIF('Register'!$A$6:$A$505,A460))</f>
        <v/>
      </c>
      <c r="AE460" s="17" t="n"/>
      <c r="AF460" s="16" t="n"/>
      <c r="AG460" s="17" t="n"/>
      <c r="AH460" s="17" t="n"/>
      <c r="AI460" s="19">
        <f>IF(AE460="","",AE460+IF(AF460="",TA_NOC,AF460))</f>
        <v/>
      </c>
      <c r="AJ460" s="15">
        <f>IF(AE460="","",IF(AG460="",DATADATE,AG460)-AE460)</f>
        <v/>
      </c>
      <c r="AK460" s="15">
        <f>IF(OR(AI460="",AG460&lt;&gt;""),"",IF(DATADATE&gt;AI460,"OVERDUE",""))</f>
        <v/>
      </c>
      <c r="AL460" s="15">
        <f>IF(AH460="","",IF(AH460&lt;DATADATE,"EXPIRED",IF(AH460-DATADATE&lt;=WARN_EXP,"EXPIRING","")))</f>
        <v/>
      </c>
      <c r="AM460" s="16" t="n"/>
      <c r="AN460" s="16" t="n"/>
      <c r="AO460" s="16" t="n"/>
      <c r="AP460" s="16" t="n"/>
    </row>
    <row r="461">
      <c r="A461" s="15">
        <f>IF(AA461="","",PROJ&amp;"-NOC-"&amp;Z461&amp;"-"&amp;TEXT(AA461,"0000"))</f>
        <v/>
      </c>
      <c r="B461" s="15">
        <f>IF(AA461="","",PROJ)</f>
        <v/>
      </c>
      <c r="C461" s="16" t="n"/>
      <c r="D461" s="16" t="n"/>
      <c r="E461" s="16" t="n"/>
      <c r="F461" s="16" t="n"/>
      <c r="G461" s="16" t="n"/>
      <c r="H461" s="16" t="n"/>
      <c r="I461" s="16" t="n"/>
      <c r="J461" s="16" t="n"/>
      <c r="K461" s="16" t="n"/>
      <c r="L461" s="16" t="n"/>
      <c r="M461" s="16" t="n"/>
      <c r="N461" s="16" t="n"/>
      <c r="O461" s="17" t="n"/>
      <c r="P461" s="16" t="n"/>
      <c r="Q461" s="16" t="n"/>
      <c r="R461" s="16" t="n"/>
      <c r="S461" s="16" t="n"/>
      <c r="T461" s="16" t="n"/>
      <c r="U461" s="16" t="n"/>
      <c r="V461" s="16" t="n"/>
      <c r="W461" s="16" t="n"/>
      <c r="X461" s="16" t="n"/>
      <c r="Y461" s="16" t="n"/>
      <c r="Z461" s="16" t="n"/>
      <c r="AA461" s="16" t="n"/>
      <c r="AB461" s="18" t="n"/>
      <c r="AC461" s="15">
        <f>IF(A461="","",IF(AB461=_xlfn.MAXIFS('Register'!$AB$6:$AB$505,'Register'!$A$6:$A$505,A461),"Y","N"))</f>
        <v/>
      </c>
      <c r="AD461" s="15">
        <f>IF(A461="","",COUNTIF('Register'!$A$6:$A$505,A461))</f>
        <v/>
      </c>
      <c r="AE461" s="17" t="n"/>
      <c r="AF461" s="16" t="n"/>
      <c r="AG461" s="17" t="n"/>
      <c r="AH461" s="17" t="n"/>
      <c r="AI461" s="19">
        <f>IF(AE461="","",AE461+IF(AF461="",TA_NOC,AF461))</f>
        <v/>
      </c>
      <c r="AJ461" s="15">
        <f>IF(AE461="","",IF(AG461="",DATADATE,AG461)-AE461)</f>
        <v/>
      </c>
      <c r="AK461" s="15">
        <f>IF(OR(AI461="",AG461&lt;&gt;""),"",IF(DATADATE&gt;AI461,"OVERDUE",""))</f>
        <v/>
      </c>
      <c r="AL461" s="15">
        <f>IF(AH461="","",IF(AH461&lt;DATADATE,"EXPIRED",IF(AH461-DATADATE&lt;=WARN_EXP,"EXPIRING","")))</f>
        <v/>
      </c>
      <c r="AM461" s="16" t="n"/>
      <c r="AN461" s="16" t="n"/>
      <c r="AO461" s="16" t="n"/>
      <c r="AP461" s="16" t="n"/>
    </row>
    <row r="462">
      <c r="A462" s="15">
        <f>IF(AA462="","",PROJ&amp;"-NOC-"&amp;Z462&amp;"-"&amp;TEXT(AA462,"0000"))</f>
        <v/>
      </c>
      <c r="B462" s="15">
        <f>IF(AA462="","",PROJ)</f>
        <v/>
      </c>
      <c r="C462" s="16" t="n"/>
      <c r="D462" s="16" t="n"/>
      <c r="E462" s="16" t="n"/>
      <c r="F462" s="16" t="n"/>
      <c r="G462" s="16" t="n"/>
      <c r="H462" s="16" t="n"/>
      <c r="I462" s="16" t="n"/>
      <c r="J462" s="16" t="n"/>
      <c r="K462" s="16" t="n"/>
      <c r="L462" s="16" t="n"/>
      <c r="M462" s="16" t="n"/>
      <c r="N462" s="16" t="n"/>
      <c r="O462" s="17" t="n"/>
      <c r="P462" s="16" t="n"/>
      <c r="Q462" s="16" t="n"/>
      <c r="R462" s="16" t="n"/>
      <c r="S462" s="16" t="n"/>
      <c r="T462" s="16" t="n"/>
      <c r="U462" s="16" t="n"/>
      <c r="V462" s="16" t="n"/>
      <c r="W462" s="16" t="n"/>
      <c r="X462" s="16" t="n"/>
      <c r="Y462" s="16" t="n"/>
      <c r="Z462" s="16" t="n"/>
      <c r="AA462" s="16" t="n"/>
      <c r="AB462" s="18" t="n"/>
      <c r="AC462" s="15">
        <f>IF(A462="","",IF(AB462=_xlfn.MAXIFS('Register'!$AB$6:$AB$505,'Register'!$A$6:$A$505,A462),"Y","N"))</f>
        <v/>
      </c>
      <c r="AD462" s="15">
        <f>IF(A462="","",COUNTIF('Register'!$A$6:$A$505,A462))</f>
        <v/>
      </c>
      <c r="AE462" s="17" t="n"/>
      <c r="AF462" s="16" t="n"/>
      <c r="AG462" s="17" t="n"/>
      <c r="AH462" s="17" t="n"/>
      <c r="AI462" s="19">
        <f>IF(AE462="","",AE462+IF(AF462="",TA_NOC,AF462))</f>
        <v/>
      </c>
      <c r="AJ462" s="15">
        <f>IF(AE462="","",IF(AG462="",DATADATE,AG462)-AE462)</f>
        <v/>
      </c>
      <c r="AK462" s="15">
        <f>IF(OR(AI462="",AG462&lt;&gt;""),"",IF(DATADATE&gt;AI462,"OVERDUE",""))</f>
        <v/>
      </c>
      <c r="AL462" s="15">
        <f>IF(AH462="","",IF(AH462&lt;DATADATE,"EXPIRED",IF(AH462-DATADATE&lt;=WARN_EXP,"EXPIRING","")))</f>
        <v/>
      </c>
      <c r="AM462" s="16" t="n"/>
      <c r="AN462" s="16" t="n"/>
      <c r="AO462" s="16" t="n"/>
      <c r="AP462" s="16" t="n"/>
    </row>
    <row r="463">
      <c r="A463" s="15">
        <f>IF(AA463="","",PROJ&amp;"-NOC-"&amp;Z463&amp;"-"&amp;TEXT(AA463,"0000"))</f>
        <v/>
      </c>
      <c r="B463" s="15">
        <f>IF(AA463="","",PROJ)</f>
        <v/>
      </c>
      <c r="C463" s="16" t="n"/>
      <c r="D463" s="16" t="n"/>
      <c r="E463" s="16" t="n"/>
      <c r="F463" s="16" t="n"/>
      <c r="G463" s="16" t="n"/>
      <c r="H463" s="16" t="n"/>
      <c r="I463" s="16" t="n"/>
      <c r="J463" s="16" t="n"/>
      <c r="K463" s="16" t="n"/>
      <c r="L463" s="16" t="n"/>
      <c r="M463" s="16" t="n"/>
      <c r="N463" s="16" t="n"/>
      <c r="O463" s="17" t="n"/>
      <c r="P463" s="16" t="n"/>
      <c r="Q463" s="16" t="n"/>
      <c r="R463" s="16" t="n"/>
      <c r="S463" s="16" t="n"/>
      <c r="T463" s="16" t="n"/>
      <c r="U463" s="16" t="n"/>
      <c r="V463" s="16" t="n"/>
      <c r="W463" s="16" t="n"/>
      <c r="X463" s="16" t="n"/>
      <c r="Y463" s="16" t="n"/>
      <c r="Z463" s="16" t="n"/>
      <c r="AA463" s="16" t="n"/>
      <c r="AB463" s="18" t="n"/>
      <c r="AC463" s="15">
        <f>IF(A463="","",IF(AB463=_xlfn.MAXIFS('Register'!$AB$6:$AB$505,'Register'!$A$6:$A$505,A463),"Y","N"))</f>
        <v/>
      </c>
      <c r="AD463" s="15">
        <f>IF(A463="","",COUNTIF('Register'!$A$6:$A$505,A463))</f>
        <v/>
      </c>
      <c r="AE463" s="17" t="n"/>
      <c r="AF463" s="16" t="n"/>
      <c r="AG463" s="17" t="n"/>
      <c r="AH463" s="17" t="n"/>
      <c r="AI463" s="19">
        <f>IF(AE463="","",AE463+IF(AF463="",TA_NOC,AF463))</f>
        <v/>
      </c>
      <c r="AJ463" s="15">
        <f>IF(AE463="","",IF(AG463="",DATADATE,AG463)-AE463)</f>
        <v/>
      </c>
      <c r="AK463" s="15">
        <f>IF(OR(AI463="",AG463&lt;&gt;""),"",IF(DATADATE&gt;AI463,"OVERDUE",""))</f>
        <v/>
      </c>
      <c r="AL463" s="15">
        <f>IF(AH463="","",IF(AH463&lt;DATADATE,"EXPIRED",IF(AH463-DATADATE&lt;=WARN_EXP,"EXPIRING","")))</f>
        <v/>
      </c>
      <c r="AM463" s="16" t="n"/>
      <c r="AN463" s="16" t="n"/>
      <c r="AO463" s="16" t="n"/>
      <c r="AP463" s="16" t="n"/>
    </row>
    <row r="464">
      <c r="A464" s="15">
        <f>IF(AA464="","",PROJ&amp;"-NOC-"&amp;Z464&amp;"-"&amp;TEXT(AA464,"0000"))</f>
        <v/>
      </c>
      <c r="B464" s="15">
        <f>IF(AA464="","",PROJ)</f>
        <v/>
      </c>
      <c r="C464" s="16" t="n"/>
      <c r="D464" s="16" t="n"/>
      <c r="E464" s="16" t="n"/>
      <c r="F464" s="16" t="n"/>
      <c r="G464" s="16" t="n"/>
      <c r="H464" s="16" t="n"/>
      <c r="I464" s="16" t="n"/>
      <c r="J464" s="16" t="n"/>
      <c r="K464" s="16" t="n"/>
      <c r="L464" s="16" t="n"/>
      <c r="M464" s="16" t="n"/>
      <c r="N464" s="16" t="n"/>
      <c r="O464" s="17" t="n"/>
      <c r="P464" s="16" t="n"/>
      <c r="Q464" s="16" t="n"/>
      <c r="R464" s="16" t="n"/>
      <c r="S464" s="16" t="n"/>
      <c r="T464" s="16" t="n"/>
      <c r="U464" s="16" t="n"/>
      <c r="V464" s="16" t="n"/>
      <c r="W464" s="16" t="n"/>
      <c r="X464" s="16" t="n"/>
      <c r="Y464" s="16" t="n"/>
      <c r="Z464" s="16" t="n"/>
      <c r="AA464" s="16" t="n"/>
      <c r="AB464" s="18" t="n"/>
      <c r="AC464" s="15">
        <f>IF(A464="","",IF(AB464=_xlfn.MAXIFS('Register'!$AB$6:$AB$505,'Register'!$A$6:$A$505,A464),"Y","N"))</f>
        <v/>
      </c>
      <c r="AD464" s="15">
        <f>IF(A464="","",COUNTIF('Register'!$A$6:$A$505,A464))</f>
        <v/>
      </c>
      <c r="AE464" s="17" t="n"/>
      <c r="AF464" s="16" t="n"/>
      <c r="AG464" s="17" t="n"/>
      <c r="AH464" s="17" t="n"/>
      <c r="AI464" s="19">
        <f>IF(AE464="","",AE464+IF(AF464="",TA_NOC,AF464))</f>
        <v/>
      </c>
      <c r="AJ464" s="15">
        <f>IF(AE464="","",IF(AG464="",DATADATE,AG464)-AE464)</f>
        <v/>
      </c>
      <c r="AK464" s="15">
        <f>IF(OR(AI464="",AG464&lt;&gt;""),"",IF(DATADATE&gt;AI464,"OVERDUE",""))</f>
        <v/>
      </c>
      <c r="AL464" s="15">
        <f>IF(AH464="","",IF(AH464&lt;DATADATE,"EXPIRED",IF(AH464-DATADATE&lt;=WARN_EXP,"EXPIRING","")))</f>
        <v/>
      </c>
      <c r="AM464" s="16" t="n"/>
      <c r="AN464" s="16" t="n"/>
      <c r="AO464" s="16" t="n"/>
      <c r="AP464" s="16" t="n"/>
    </row>
    <row r="465">
      <c r="A465" s="15">
        <f>IF(AA465="","",PROJ&amp;"-NOC-"&amp;Z465&amp;"-"&amp;TEXT(AA465,"0000"))</f>
        <v/>
      </c>
      <c r="B465" s="15">
        <f>IF(AA465="","",PROJ)</f>
        <v/>
      </c>
      <c r="C465" s="16" t="n"/>
      <c r="D465" s="16" t="n"/>
      <c r="E465" s="16" t="n"/>
      <c r="F465" s="16" t="n"/>
      <c r="G465" s="16" t="n"/>
      <c r="H465" s="16" t="n"/>
      <c r="I465" s="16" t="n"/>
      <c r="J465" s="16" t="n"/>
      <c r="K465" s="16" t="n"/>
      <c r="L465" s="16" t="n"/>
      <c r="M465" s="16" t="n"/>
      <c r="N465" s="16" t="n"/>
      <c r="O465" s="17" t="n"/>
      <c r="P465" s="16" t="n"/>
      <c r="Q465" s="16" t="n"/>
      <c r="R465" s="16" t="n"/>
      <c r="S465" s="16" t="n"/>
      <c r="T465" s="16" t="n"/>
      <c r="U465" s="16" t="n"/>
      <c r="V465" s="16" t="n"/>
      <c r="W465" s="16" t="n"/>
      <c r="X465" s="16" t="n"/>
      <c r="Y465" s="16" t="n"/>
      <c r="Z465" s="16" t="n"/>
      <c r="AA465" s="16" t="n"/>
      <c r="AB465" s="18" t="n"/>
      <c r="AC465" s="15">
        <f>IF(A465="","",IF(AB465=_xlfn.MAXIFS('Register'!$AB$6:$AB$505,'Register'!$A$6:$A$505,A465),"Y","N"))</f>
        <v/>
      </c>
      <c r="AD465" s="15">
        <f>IF(A465="","",COUNTIF('Register'!$A$6:$A$505,A465))</f>
        <v/>
      </c>
      <c r="AE465" s="17" t="n"/>
      <c r="AF465" s="16" t="n"/>
      <c r="AG465" s="17" t="n"/>
      <c r="AH465" s="17" t="n"/>
      <c r="AI465" s="19">
        <f>IF(AE465="","",AE465+IF(AF465="",TA_NOC,AF465))</f>
        <v/>
      </c>
      <c r="AJ465" s="15">
        <f>IF(AE465="","",IF(AG465="",DATADATE,AG465)-AE465)</f>
        <v/>
      </c>
      <c r="AK465" s="15">
        <f>IF(OR(AI465="",AG465&lt;&gt;""),"",IF(DATADATE&gt;AI465,"OVERDUE",""))</f>
        <v/>
      </c>
      <c r="AL465" s="15">
        <f>IF(AH465="","",IF(AH465&lt;DATADATE,"EXPIRED",IF(AH465-DATADATE&lt;=WARN_EXP,"EXPIRING","")))</f>
        <v/>
      </c>
      <c r="AM465" s="16" t="n"/>
      <c r="AN465" s="16" t="n"/>
      <c r="AO465" s="16" t="n"/>
      <c r="AP465" s="16" t="n"/>
    </row>
    <row r="466">
      <c r="A466" s="15">
        <f>IF(AA466="","",PROJ&amp;"-NOC-"&amp;Z466&amp;"-"&amp;TEXT(AA466,"0000"))</f>
        <v/>
      </c>
      <c r="B466" s="15">
        <f>IF(AA466="","",PROJ)</f>
        <v/>
      </c>
      <c r="C466" s="16" t="n"/>
      <c r="D466" s="16" t="n"/>
      <c r="E466" s="16" t="n"/>
      <c r="F466" s="16" t="n"/>
      <c r="G466" s="16" t="n"/>
      <c r="H466" s="16" t="n"/>
      <c r="I466" s="16" t="n"/>
      <c r="J466" s="16" t="n"/>
      <c r="K466" s="16" t="n"/>
      <c r="L466" s="16" t="n"/>
      <c r="M466" s="16" t="n"/>
      <c r="N466" s="16" t="n"/>
      <c r="O466" s="17" t="n"/>
      <c r="P466" s="16" t="n"/>
      <c r="Q466" s="16" t="n"/>
      <c r="R466" s="16" t="n"/>
      <c r="S466" s="16" t="n"/>
      <c r="T466" s="16" t="n"/>
      <c r="U466" s="16" t="n"/>
      <c r="V466" s="16" t="n"/>
      <c r="W466" s="16" t="n"/>
      <c r="X466" s="16" t="n"/>
      <c r="Y466" s="16" t="n"/>
      <c r="Z466" s="16" t="n"/>
      <c r="AA466" s="16" t="n"/>
      <c r="AB466" s="18" t="n"/>
      <c r="AC466" s="15">
        <f>IF(A466="","",IF(AB466=_xlfn.MAXIFS('Register'!$AB$6:$AB$505,'Register'!$A$6:$A$505,A466),"Y","N"))</f>
        <v/>
      </c>
      <c r="AD466" s="15">
        <f>IF(A466="","",COUNTIF('Register'!$A$6:$A$505,A466))</f>
        <v/>
      </c>
      <c r="AE466" s="17" t="n"/>
      <c r="AF466" s="16" t="n"/>
      <c r="AG466" s="17" t="n"/>
      <c r="AH466" s="17" t="n"/>
      <c r="AI466" s="19">
        <f>IF(AE466="","",AE466+IF(AF466="",TA_NOC,AF466))</f>
        <v/>
      </c>
      <c r="AJ466" s="15">
        <f>IF(AE466="","",IF(AG466="",DATADATE,AG466)-AE466)</f>
        <v/>
      </c>
      <c r="AK466" s="15">
        <f>IF(OR(AI466="",AG466&lt;&gt;""),"",IF(DATADATE&gt;AI466,"OVERDUE",""))</f>
        <v/>
      </c>
      <c r="AL466" s="15">
        <f>IF(AH466="","",IF(AH466&lt;DATADATE,"EXPIRED",IF(AH466-DATADATE&lt;=WARN_EXP,"EXPIRING","")))</f>
        <v/>
      </c>
      <c r="AM466" s="16" t="n"/>
      <c r="AN466" s="16" t="n"/>
      <c r="AO466" s="16" t="n"/>
      <c r="AP466" s="16" t="n"/>
    </row>
    <row r="467">
      <c r="A467" s="15">
        <f>IF(AA467="","",PROJ&amp;"-NOC-"&amp;Z467&amp;"-"&amp;TEXT(AA467,"0000"))</f>
        <v/>
      </c>
      <c r="B467" s="15">
        <f>IF(AA467="","",PROJ)</f>
        <v/>
      </c>
      <c r="C467" s="16" t="n"/>
      <c r="D467" s="16" t="n"/>
      <c r="E467" s="16" t="n"/>
      <c r="F467" s="16" t="n"/>
      <c r="G467" s="16" t="n"/>
      <c r="H467" s="16" t="n"/>
      <c r="I467" s="16" t="n"/>
      <c r="J467" s="16" t="n"/>
      <c r="K467" s="16" t="n"/>
      <c r="L467" s="16" t="n"/>
      <c r="M467" s="16" t="n"/>
      <c r="N467" s="16" t="n"/>
      <c r="O467" s="17" t="n"/>
      <c r="P467" s="16" t="n"/>
      <c r="Q467" s="16" t="n"/>
      <c r="R467" s="16" t="n"/>
      <c r="S467" s="16" t="n"/>
      <c r="T467" s="16" t="n"/>
      <c r="U467" s="16" t="n"/>
      <c r="V467" s="16" t="n"/>
      <c r="W467" s="16" t="n"/>
      <c r="X467" s="16" t="n"/>
      <c r="Y467" s="16" t="n"/>
      <c r="Z467" s="16" t="n"/>
      <c r="AA467" s="16" t="n"/>
      <c r="AB467" s="18" t="n"/>
      <c r="AC467" s="15">
        <f>IF(A467="","",IF(AB467=_xlfn.MAXIFS('Register'!$AB$6:$AB$505,'Register'!$A$6:$A$505,A467),"Y","N"))</f>
        <v/>
      </c>
      <c r="AD467" s="15">
        <f>IF(A467="","",COUNTIF('Register'!$A$6:$A$505,A467))</f>
        <v/>
      </c>
      <c r="AE467" s="17" t="n"/>
      <c r="AF467" s="16" t="n"/>
      <c r="AG467" s="17" t="n"/>
      <c r="AH467" s="17" t="n"/>
      <c r="AI467" s="19">
        <f>IF(AE467="","",AE467+IF(AF467="",TA_NOC,AF467))</f>
        <v/>
      </c>
      <c r="AJ467" s="15">
        <f>IF(AE467="","",IF(AG467="",DATADATE,AG467)-AE467)</f>
        <v/>
      </c>
      <c r="AK467" s="15">
        <f>IF(OR(AI467="",AG467&lt;&gt;""),"",IF(DATADATE&gt;AI467,"OVERDUE",""))</f>
        <v/>
      </c>
      <c r="AL467" s="15">
        <f>IF(AH467="","",IF(AH467&lt;DATADATE,"EXPIRED",IF(AH467-DATADATE&lt;=WARN_EXP,"EXPIRING","")))</f>
        <v/>
      </c>
      <c r="AM467" s="16" t="n"/>
      <c r="AN467" s="16" t="n"/>
      <c r="AO467" s="16" t="n"/>
      <c r="AP467" s="16" t="n"/>
    </row>
    <row r="468">
      <c r="A468" s="15">
        <f>IF(AA468="","",PROJ&amp;"-NOC-"&amp;Z468&amp;"-"&amp;TEXT(AA468,"0000"))</f>
        <v/>
      </c>
      <c r="B468" s="15">
        <f>IF(AA468="","",PROJ)</f>
        <v/>
      </c>
      <c r="C468" s="16" t="n"/>
      <c r="D468" s="16" t="n"/>
      <c r="E468" s="16" t="n"/>
      <c r="F468" s="16" t="n"/>
      <c r="G468" s="16" t="n"/>
      <c r="H468" s="16" t="n"/>
      <c r="I468" s="16" t="n"/>
      <c r="J468" s="16" t="n"/>
      <c r="K468" s="16" t="n"/>
      <c r="L468" s="16" t="n"/>
      <c r="M468" s="16" t="n"/>
      <c r="N468" s="16" t="n"/>
      <c r="O468" s="17" t="n"/>
      <c r="P468" s="16" t="n"/>
      <c r="Q468" s="16" t="n"/>
      <c r="R468" s="16" t="n"/>
      <c r="S468" s="16" t="n"/>
      <c r="T468" s="16" t="n"/>
      <c r="U468" s="16" t="n"/>
      <c r="V468" s="16" t="n"/>
      <c r="W468" s="16" t="n"/>
      <c r="X468" s="16" t="n"/>
      <c r="Y468" s="16" t="n"/>
      <c r="Z468" s="16" t="n"/>
      <c r="AA468" s="16" t="n"/>
      <c r="AB468" s="18" t="n"/>
      <c r="AC468" s="15">
        <f>IF(A468="","",IF(AB468=_xlfn.MAXIFS('Register'!$AB$6:$AB$505,'Register'!$A$6:$A$505,A468),"Y","N"))</f>
        <v/>
      </c>
      <c r="AD468" s="15">
        <f>IF(A468="","",COUNTIF('Register'!$A$6:$A$505,A468))</f>
        <v/>
      </c>
      <c r="AE468" s="17" t="n"/>
      <c r="AF468" s="16" t="n"/>
      <c r="AG468" s="17" t="n"/>
      <c r="AH468" s="17" t="n"/>
      <c r="AI468" s="19">
        <f>IF(AE468="","",AE468+IF(AF468="",TA_NOC,AF468))</f>
        <v/>
      </c>
      <c r="AJ468" s="15">
        <f>IF(AE468="","",IF(AG468="",DATADATE,AG468)-AE468)</f>
        <v/>
      </c>
      <c r="AK468" s="15">
        <f>IF(OR(AI468="",AG468&lt;&gt;""),"",IF(DATADATE&gt;AI468,"OVERDUE",""))</f>
        <v/>
      </c>
      <c r="AL468" s="15">
        <f>IF(AH468="","",IF(AH468&lt;DATADATE,"EXPIRED",IF(AH468-DATADATE&lt;=WARN_EXP,"EXPIRING","")))</f>
        <v/>
      </c>
      <c r="AM468" s="16" t="n"/>
      <c r="AN468" s="16" t="n"/>
      <c r="AO468" s="16" t="n"/>
      <c r="AP468" s="16" t="n"/>
    </row>
    <row r="469">
      <c r="A469" s="15">
        <f>IF(AA469="","",PROJ&amp;"-NOC-"&amp;Z469&amp;"-"&amp;TEXT(AA469,"0000"))</f>
        <v/>
      </c>
      <c r="B469" s="15">
        <f>IF(AA469="","",PROJ)</f>
        <v/>
      </c>
      <c r="C469" s="16" t="n"/>
      <c r="D469" s="16" t="n"/>
      <c r="E469" s="16" t="n"/>
      <c r="F469" s="16" t="n"/>
      <c r="G469" s="16" t="n"/>
      <c r="H469" s="16" t="n"/>
      <c r="I469" s="16" t="n"/>
      <c r="J469" s="16" t="n"/>
      <c r="K469" s="16" t="n"/>
      <c r="L469" s="16" t="n"/>
      <c r="M469" s="16" t="n"/>
      <c r="N469" s="16" t="n"/>
      <c r="O469" s="17" t="n"/>
      <c r="P469" s="16" t="n"/>
      <c r="Q469" s="16" t="n"/>
      <c r="R469" s="16" t="n"/>
      <c r="S469" s="16" t="n"/>
      <c r="T469" s="16" t="n"/>
      <c r="U469" s="16" t="n"/>
      <c r="V469" s="16" t="n"/>
      <c r="W469" s="16" t="n"/>
      <c r="X469" s="16" t="n"/>
      <c r="Y469" s="16" t="n"/>
      <c r="Z469" s="16" t="n"/>
      <c r="AA469" s="16" t="n"/>
      <c r="AB469" s="18" t="n"/>
      <c r="AC469" s="15">
        <f>IF(A469="","",IF(AB469=_xlfn.MAXIFS('Register'!$AB$6:$AB$505,'Register'!$A$6:$A$505,A469),"Y","N"))</f>
        <v/>
      </c>
      <c r="AD469" s="15">
        <f>IF(A469="","",COUNTIF('Register'!$A$6:$A$505,A469))</f>
        <v/>
      </c>
      <c r="AE469" s="17" t="n"/>
      <c r="AF469" s="16" t="n"/>
      <c r="AG469" s="17" t="n"/>
      <c r="AH469" s="17" t="n"/>
      <c r="AI469" s="19">
        <f>IF(AE469="","",AE469+IF(AF469="",TA_NOC,AF469))</f>
        <v/>
      </c>
      <c r="AJ469" s="15">
        <f>IF(AE469="","",IF(AG469="",DATADATE,AG469)-AE469)</f>
        <v/>
      </c>
      <c r="AK469" s="15">
        <f>IF(OR(AI469="",AG469&lt;&gt;""),"",IF(DATADATE&gt;AI469,"OVERDUE",""))</f>
        <v/>
      </c>
      <c r="AL469" s="15">
        <f>IF(AH469="","",IF(AH469&lt;DATADATE,"EXPIRED",IF(AH469-DATADATE&lt;=WARN_EXP,"EXPIRING","")))</f>
        <v/>
      </c>
      <c r="AM469" s="16" t="n"/>
      <c r="AN469" s="16" t="n"/>
      <c r="AO469" s="16" t="n"/>
      <c r="AP469" s="16" t="n"/>
    </row>
    <row r="470">
      <c r="A470" s="15">
        <f>IF(AA470="","",PROJ&amp;"-NOC-"&amp;Z470&amp;"-"&amp;TEXT(AA470,"0000"))</f>
        <v/>
      </c>
      <c r="B470" s="15">
        <f>IF(AA470="","",PROJ)</f>
        <v/>
      </c>
      <c r="C470" s="16" t="n"/>
      <c r="D470" s="16" t="n"/>
      <c r="E470" s="16" t="n"/>
      <c r="F470" s="16" t="n"/>
      <c r="G470" s="16" t="n"/>
      <c r="H470" s="16" t="n"/>
      <c r="I470" s="16" t="n"/>
      <c r="J470" s="16" t="n"/>
      <c r="K470" s="16" t="n"/>
      <c r="L470" s="16" t="n"/>
      <c r="M470" s="16" t="n"/>
      <c r="N470" s="16" t="n"/>
      <c r="O470" s="17" t="n"/>
      <c r="P470" s="16" t="n"/>
      <c r="Q470" s="16" t="n"/>
      <c r="R470" s="16" t="n"/>
      <c r="S470" s="16" t="n"/>
      <c r="T470" s="16" t="n"/>
      <c r="U470" s="16" t="n"/>
      <c r="V470" s="16" t="n"/>
      <c r="W470" s="16" t="n"/>
      <c r="X470" s="16" t="n"/>
      <c r="Y470" s="16" t="n"/>
      <c r="Z470" s="16" t="n"/>
      <c r="AA470" s="16" t="n"/>
      <c r="AB470" s="18" t="n"/>
      <c r="AC470" s="15">
        <f>IF(A470="","",IF(AB470=_xlfn.MAXIFS('Register'!$AB$6:$AB$505,'Register'!$A$6:$A$505,A470),"Y","N"))</f>
        <v/>
      </c>
      <c r="AD470" s="15">
        <f>IF(A470="","",COUNTIF('Register'!$A$6:$A$505,A470))</f>
        <v/>
      </c>
      <c r="AE470" s="17" t="n"/>
      <c r="AF470" s="16" t="n"/>
      <c r="AG470" s="17" t="n"/>
      <c r="AH470" s="17" t="n"/>
      <c r="AI470" s="19">
        <f>IF(AE470="","",AE470+IF(AF470="",TA_NOC,AF470))</f>
        <v/>
      </c>
      <c r="AJ470" s="15">
        <f>IF(AE470="","",IF(AG470="",DATADATE,AG470)-AE470)</f>
        <v/>
      </c>
      <c r="AK470" s="15">
        <f>IF(OR(AI470="",AG470&lt;&gt;""),"",IF(DATADATE&gt;AI470,"OVERDUE",""))</f>
        <v/>
      </c>
      <c r="AL470" s="15">
        <f>IF(AH470="","",IF(AH470&lt;DATADATE,"EXPIRED",IF(AH470-DATADATE&lt;=WARN_EXP,"EXPIRING","")))</f>
        <v/>
      </c>
      <c r="AM470" s="16" t="n"/>
      <c r="AN470" s="16" t="n"/>
      <c r="AO470" s="16" t="n"/>
      <c r="AP470" s="16" t="n"/>
    </row>
    <row r="471">
      <c r="A471" s="15">
        <f>IF(AA471="","",PROJ&amp;"-NOC-"&amp;Z471&amp;"-"&amp;TEXT(AA471,"0000"))</f>
        <v/>
      </c>
      <c r="B471" s="15">
        <f>IF(AA471="","",PROJ)</f>
        <v/>
      </c>
      <c r="C471" s="16" t="n"/>
      <c r="D471" s="16" t="n"/>
      <c r="E471" s="16" t="n"/>
      <c r="F471" s="16" t="n"/>
      <c r="G471" s="16" t="n"/>
      <c r="H471" s="16" t="n"/>
      <c r="I471" s="16" t="n"/>
      <c r="J471" s="16" t="n"/>
      <c r="K471" s="16" t="n"/>
      <c r="L471" s="16" t="n"/>
      <c r="M471" s="16" t="n"/>
      <c r="N471" s="16" t="n"/>
      <c r="O471" s="17" t="n"/>
      <c r="P471" s="16" t="n"/>
      <c r="Q471" s="16" t="n"/>
      <c r="R471" s="16" t="n"/>
      <c r="S471" s="16" t="n"/>
      <c r="T471" s="16" t="n"/>
      <c r="U471" s="16" t="n"/>
      <c r="V471" s="16" t="n"/>
      <c r="W471" s="16" t="n"/>
      <c r="X471" s="16" t="n"/>
      <c r="Y471" s="16" t="n"/>
      <c r="Z471" s="16" t="n"/>
      <c r="AA471" s="16" t="n"/>
      <c r="AB471" s="18" t="n"/>
      <c r="AC471" s="15">
        <f>IF(A471="","",IF(AB471=_xlfn.MAXIFS('Register'!$AB$6:$AB$505,'Register'!$A$6:$A$505,A471),"Y","N"))</f>
        <v/>
      </c>
      <c r="AD471" s="15">
        <f>IF(A471="","",COUNTIF('Register'!$A$6:$A$505,A471))</f>
        <v/>
      </c>
      <c r="AE471" s="17" t="n"/>
      <c r="AF471" s="16" t="n"/>
      <c r="AG471" s="17" t="n"/>
      <c r="AH471" s="17" t="n"/>
      <c r="AI471" s="19">
        <f>IF(AE471="","",AE471+IF(AF471="",TA_NOC,AF471))</f>
        <v/>
      </c>
      <c r="AJ471" s="15">
        <f>IF(AE471="","",IF(AG471="",DATADATE,AG471)-AE471)</f>
        <v/>
      </c>
      <c r="AK471" s="15">
        <f>IF(OR(AI471="",AG471&lt;&gt;""),"",IF(DATADATE&gt;AI471,"OVERDUE",""))</f>
        <v/>
      </c>
      <c r="AL471" s="15">
        <f>IF(AH471="","",IF(AH471&lt;DATADATE,"EXPIRED",IF(AH471-DATADATE&lt;=WARN_EXP,"EXPIRING","")))</f>
        <v/>
      </c>
      <c r="AM471" s="16" t="n"/>
      <c r="AN471" s="16" t="n"/>
      <c r="AO471" s="16" t="n"/>
      <c r="AP471" s="16" t="n"/>
    </row>
    <row r="472">
      <c r="A472" s="15">
        <f>IF(AA472="","",PROJ&amp;"-NOC-"&amp;Z472&amp;"-"&amp;TEXT(AA472,"0000"))</f>
        <v/>
      </c>
      <c r="B472" s="15">
        <f>IF(AA472="","",PROJ)</f>
        <v/>
      </c>
      <c r="C472" s="16" t="n"/>
      <c r="D472" s="16" t="n"/>
      <c r="E472" s="16" t="n"/>
      <c r="F472" s="16" t="n"/>
      <c r="G472" s="16" t="n"/>
      <c r="H472" s="16" t="n"/>
      <c r="I472" s="16" t="n"/>
      <c r="J472" s="16" t="n"/>
      <c r="K472" s="16" t="n"/>
      <c r="L472" s="16" t="n"/>
      <c r="M472" s="16" t="n"/>
      <c r="N472" s="16" t="n"/>
      <c r="O472" s="17" t="n"/>
      <c r="P472" s="16" t="n"/>
      <c r="Q472" s="16" t="n"/>
      <c r="R472" s="16" t="n"/>
      <c r="S472" s="16" t="n"/>
      <c r="T472" s="16" t="n"/>
      <c r="U472" s="16" t="n"/>
      <c r="V472" s="16" t="n"/>
      <c r="W472" s="16" t="n"/>
      <c r="X472" s="16" t="n"/>
      <c r="Y472" s="16" t="n"/>
      <c r="Z472" s="16" t="n"/>
      <c r="AA472" s="16" t="n"/>
      <c r="AB472" s="18" t="n"/>
      <c r="AC472" s="15">
        <f>IF(A472="","",IF(AB472=_xlfn.MAXIFS('Register'!$AB$6:$AB$505,'Register'!$A$6:$A$505,A472),"Y","N"))</f>
        <v/>
      </c>
      <c r="AD472" s="15">
        <f>IF(A472="","",COUNTIF('Register'!$A$6:$A$505,A472))</f>
        <v/>
      </c>
      <c r="AE472" s="17" t="n"/>
      <c r="AF472" s="16" t="n"/>
      <c r="AG472" s="17" t="n"/>
      <c r="AH472" s="17" t="n"/>
      <c r="AI472" s="19">
        <f>IF(AE472="","",AE472+IF(AF472="",TA_NOC,AF472))</f>
        <v/>
      </c>
      <c r="AJ472" s="15">
        <f>IF(AE472="","",IF(AG472="",DATADATE,AG472)-AE472)</f>
        <v/>
      </c>
      <c r="AK472" s="15">
        <f>IF(OR(AI472="",AG472&lt;&gt;""),"",IF(DATADATE&gt;AI472,"OVERDUE",""))</f>
        <v/>
      </c>
      <c r="AL472" s="15">
        <f>IF(AH472="","",IF(AH472&lt;DATADATE,"EXPIRED",IF(AH472-DATADATE&lt;=WARN_EXP,"EXPIRING","")))</f>
        <v/>
      </c>
      <c r="AM472" s="16" t="n"/>
      <c r="AN472" s="16" t="n"/>
      <c r="AO472" s="16" t="n"/>
      <c r="AP472" s="16" t="n"/>
    </row>
    <row r="473">
      <c r="A473" s="15">
        <f>IF(AA473="","",PROJ&amp;"-NOC-"&amp;Z473&amp;"-"&amp;TEXT(AA473,"0000"))</f>
        <v/>
      </c>
      <c r="B473" s="15">
        <f>IF(AA473="","",PROJ)</f>
        <v/>
      </c>
      <c r="C473" s="16" t="n"/>
      <c r="D473" s="16" t="n"/>
      <c r="E473" s="16" t="n"/>
      <c r="F473" s="16" t="n"/>
      <c r="G473" s="16" t="n"/>
      <c r="H473" s="16" t="n"/>
      <c r="I473" s="16" t="n"/>
      <c r="J473" s="16" t="n"/>
      <c r="K473" s="16" t="n"/>
      <c r="L473" s="16" t="n"/>
      <c r="M473" s="16" t="n"/>
      <c r="N473" s="16" t="n"/>
      <c r="O473" s="17" t="n"/>
      <c r="P473" s="16" t="n"/>
      <c r="Q473" s="16" t="n"/>
      <c r="R473" s="16" t="n"/>
      <c r="S473" s="16" t="n"/>
      <c r="T473" s="16" t="n"/>
      <c r="U473" s="16" t="n"/>
      <c r="V473" s="16" t="n"/>
      <c r="W473" s="16" t="n"/>
      <c r="X473" s="16" t="n"/>
      <c r="Y473" s="16" t="n"/>
      <c r="Z473" s="16" t="n"/>
      <c r="AA473" s="16" t="n"/>
      <c r="AB473" s="18" t="n"/>
      <c r="AC473" s="15">
        <f>IF(A473="","",IF(AB473=_xlfn.MAXIFS('Register'!$AB$6:$AB$505,'Register'!$A$6:$A$505,A473),"Y","N"))</f>
        <v/>
      </c>
      <c r="AD473" s="15">
        <f>IF(A473="","",COUNTIF('Register'!$A$6:$A$505,A473))</f>
        <v/>
      </c>
      <c r="AE473" s="17" t="n"/>
      <c r="AF473" s="16" t="n"/>
      <c r="AG473" s="17" t="n"/>
      <c r="AH473" s="17" t="n"/>
      <c r="AI473" s="19">
        <f>IF(AE473="","",AE473+IF(AF473="",TA_NOC,AF473))</f>
        <v/>
      </c>
      <c r="AJ473" s="15">
        <f>IF(AE473="","",IF(AG473="",DATADATE,AG473)-AE473)</f>
        <v/>
      </c>
      <c r="AK473" s="15">
        <f>IF(OR(AI473="",AG473&lt;&gt;""),"",IF(DATADATE&gt;AI473,"OVERDUE",""))</f>
        <v/>
      </c>
      <c r="AL473" s="15">
        <f>IF(AH473="","",IF(AH473&lt;DATADATE,"EXPIRED",IF(AH473-DATADATE&lt;=WARN_EXP,"EXPIRING","")))</f>
        <v/>
      </c>
      <c r="AM473" s="16" t="n"/>
      <c r="AN473" s="16" t="n"/>
      <c r="AO473" s="16" t="n"/>
      <c r="AP473" s="16" t="n"/>
    </row>
    <row r="474">
      <c r="A474" s="15">
        <f>IF(AA474="","",PROJ&amp;"-NOC-"&amp;Z474&amp;"-"&amp;TEXT(AA474,"0000"))</f>
        <v/>
      </c>
      <c r="B474" s="15">
        <f>IF(AA474="","",PROJ)</f>
        <v/>
      </c>
      <c r="C474" s="16" t="n"/>
      <c r="D474" s="16" t="n"/>
      <c r="E474" s="16" t="n"/>
      <c r="F474" s="16" t="n"/>
      <c r="G474" s="16" t="n"/>
      <c r="H474" s="16" t="n"/>
      <c r="I474" s="16" t="n"/>
      <c r="J474" s="16" t="n"/>
      <c r="K474" s="16" t="n"/>
      <c r="L474" s="16" t="n"/>
      <c r="M474" s="16" t="n"/>
      <c r="N474" s="16" t="n"/>
      <c r="O474" s="17" t="n"/>
      <c r="P474" s="16" t="n"/>
      <c r="Q474" s="16" t="n"/>
      <c r="R474" s="16" t="n"/>
      <c r="S474" s="16" t="n"/>
      <c r="T474" s="16" t="n"/>
      <c r="U474" s="16" t="n"/>
      <c r="V474" s="16" t="n"/>
      <c r="W474" s="16" t="n"/>
      <c r="X474" s="16" t="n"/>
      <c r="Y474" s="16" t="n"/>
      <c r="Z474" s="16" t="n"/>
      <c r="AA474" s="16" t="n"/>
      <c r="AB474" s="18" t="n"/>
      <c r="AC474" s="15">
        <f>IF(A474="","",IF(AB474=_xlfn.MAXIFS('Register'!$AB$6:$AB$505,'Register'!$A$6:$A$505,A474),"Y","N"))</f>
        <v/>
      </c>
      <c r="AD474" s="15">
        <f>IF(A474="","",COUNTIF('Register'!$A$6:$A$505,A474))</f>
        <v/>
      </c>
      <c r="AE474" s="17" t="n"/>
      <c r="AF474" s="16" t="n"/>
      <c r="AG474" s="17" t="n"/>
      <c r="AH474" s="17" t="n"/>
      <c r="AI474" s="19">
        <f>IF(AE474="","",AE474+IF(AF474="",TA_NOC,AF474))</f>
        <v/>
      </c>
      <c r="AJ474" s="15">
        <f>IF(AE474="","",IF(AG474="",DATADATE,AG474)-AE474)</f>
        <v/>
      </c>
      <c r="AK474" s="15">
        <f>IF(OR(AI474="",AG474&lt;&gt;""),"",IF(DATADATE&gt;AI474,"OVERDUE",""))</f>
        <v/>
      </c>
      <c r="AL474" s="15">
        <f>IF(AH474="","",IF(AH474&lt;DATADATE,"EXPIRED",IF(AH474-DATADATE&lt;=WARN_EXP,"EXPIRING","")))</f>
        <v/>
      </c>
      <c r="AM474" s="16" t="n"/>
      <c r="AN474" s="16" t="n"/>
      <c r="AO474" s="16" t="n"/>
      <c r="AP474" s="16" t="n"/>
    </row>
    <row r="475">
      <c r="A475" s="15">
        <f>IF(AA475="","",PROJ&amp;"-NOC-"&amp;Z475&amp;"-"&amp;TEXT(AA475,"0000"))</f>
        <v/>
      </c>
      <c r="B475" s="15">
        <f>IF(AA475="","",PROJ)</f>
        <v/>
      </c>
      <c r="C475" s="16" t="n"/>
      <c r="D475" s="16" t="n"/>
      <c r="E475" s="16" t="n"/>
      <c r="F475" s="16" t="n"/>
      <c r="G475" s="16" t="n"/>
      <c r="H475" s="16" t="n"/>
      <c r="I475" s="16" t="n"/>
      <c r="J475" s="16" t="n"/>
      <c r="K475" s="16" t="n"/>
      <c r="L475" s="16" t="n"/>
      <c r="M475" s="16" t="n"/>
      <c r="N475" s="16" t="n"/>
      <c r="O475" s="17" t="n"/>
      <c r="P475" s="16" t="n"/>
      <c r="Q475" s="16" t="n"/>
      <c r="R475" s="16" t="n"/>
      <c r="S475" s="16" t="n"/>
      <c r="T475" s="16" t="n"/>
      <c r="U475" s="16" t="n"/>
      <c r="V475" s="16" t="n"/>
      <c r="W475" s="16" t="n"/>
      <c r="X475" s="16" t="n"/>
      <c r="Y475" s="16" t="n"/>
      <c r="Z475" s="16" t="n"/>
      <c r="AA475" s="16" t="n"/>
      <c r="AB475" s="18" t="n"/>
      <c r="AC475" s="15">
        <f>IF(A475="","",IF(AB475=_xlfn.MAXIFS('Register'!$AB$6:$AB$505,'Register'!$A$6:$A$505,A475),"Y","N"))</f>
        <v/>
      </c>
      <c r="AD475" s="15">
        <f>IF(A475="","",COUNTIF('Register'!$A$6:$A$505,A475))</f>
        <v/>
      </c>
      <c r="AE475" s="17" t="n"/>
      <c r="AF475" s="16" t="n"/>
      <c r="AG475" s="17" t="n"/>
      <c r="AH475" s="17" t="n"/>
      <c r="AI475" s="19">
        <f>IF(AE475="","",AE475+IF(AF475="",TA_NOC,AF475))</f>
        <v/>
      </c>
      <c r="AJ475" s="15">
        <f>IF(AE475="","",IF(AG475="",DATADATE,AG475)-AE475)</f>
        <v/>
      </c>
      <c r="AK475" s="15">
        <f>IF(OR(AI475="",AG475&lt;&gt;""),"",IF(DATADATE&gt;AI475,"OVERDUE",""))</f>
        <v/>
      </c>
      <c r="AL475" s="15">
        <f>IF(AH475="","",IF(AH475&lt;DATADATE,"EXPIRED",IF(AH475-DATADATE&lt;=WARN_EXP,"EXPIRING","")))</f>
        <v/>
      </c>
      <c r="AM475" s="16" t="n"/>
      <c r="AN475" s="16" t="n"/>
      <c r="AO475" s="16" t="n"/>
      <c r="AP475" s="16" t="n"/>
    </row>
    <row r="476">
      <c r="A476" s="15">
        <f>IF(AA476="","",PROJ&amp;"-NOC-"&amp;Z476&amp;"-"&amp;TEXT(AA476,"0000"))</f>
        <v/>
      </c>
      <c r="B476" s="15">
        <f>IF(AA476="","",PROJ)</f>
        <v/>
      </c>
      <c r="C476" s="16" t="n"/>
      <c r="D476" s="16" t="n"/>
      <c r="E476" s="16" t="n"/>
      <c r="F476" s="16" t="n"/>
      <c r="G476" s="16" t="n"/>
      <c r="H476" s="16" t="n"/>
      <c r="I476" s="16" t="n"/>
      <c r="J476" s="16" t="n"/>
      <c r="K476" s="16" t="n"/>
      <c r="L476" s="16" t="n"/>
      <c r="M476" s="16" t="n"/>
      <c r="N476" s="16" t="n"/>
      <c r="O476" s="17" t="n"/>
      <c r="P476" s="16" t="n"/>
      <c r="Q476" s="16" t="n"/>
      <c r="R476" s="16" t="n"/>
      <c r="S476" s="16" t="n"/>
      <c r="T476" s="16" t="n"/>
      <c r="U476" s="16" t="n"/>
      <c r="V476" s="16" t="n"/>
      <c r="W476" s="16" t="n"/>
      <c r="X476" s="16" t="n"/>
      <c r="Y476" s="16" t="n"/>
      <c r="Z476" s="16" t="n"/>
      <c r="AA476" s="16" t="n"/>
      <c r="AB476" s="18" t="n"/>
      <c r="AC476" s="15">
        <f>IF(A476="","",IF(AB476=_xlfn.MAXIFS('Register'!$AB$6:$AB$505,'Register'!$A$6:$A$505,A476),"Y","N"))</f>
        <v/>
      </c>
      <c r="AD476" s="15">
        <f>IF(A476="","",COUNTIF('Register'!$A$6:$A$505,A476))</f>
        <v/>
      </c>
      <c r="AE476" s="17" t="n"/>
      <c r="AF476" s="16" t="n"/>
      <c r="AG476" s="17" t="n"/>
      <c r="AH476" s="17" t="n"/>
      <c r="AI476" s="19">
        <f>IF(AE476="","",AE476+IF(AF476="",TA_NOC,AF476))</f>
        <v/>
      </c>
      <c r="AJ476" s="15">
        <f>IF(AE476="","",IF(AG476="",DATADATE,AG476)-AE476)</f>
        <v/>
      </c>
      <c r="AK476" s="15">
        <f>IF(OR(AI476="",AG476&lt;&gt;""),"",IF(DATADATE&gt;AI476,"OVERDUE",""))</f>
        <v/>
      </c>
      <c r="AL476" s="15">
        <f>IF(AH476="","",IF(AH476&lt;DATADATE,"EXPIRED",IF(AH476-DATADATE&lt;=WARN_EXP,"EXPIRING","")))</f>
        <v/>
      </c>
      <c r="AM476" s="16" t="n"/>
      <c r="AN476" s="16" t="n"/>
      <c r="AO476" s="16" t="n"/>
      <c r="AP476" s="16" t="n"/>
    </row>
    <row r="477">
      <c r="A477" s="15">
        <f>IF(AA477="","",PROJ&amp;"-NOC-"&amp;Z477&amp;"-"&amp;TEXT(AA477,"0000"))</f>
        <v/>
      </c>
      <c r="B477" s="15">
        <f>IF(AA477="","",PROJ)</f>
        <v/>
      </c>
      <c r="C477" s="16" t="n"/>
      <c r="D477" s="16" t="n"/>
      <c r="E477" s="16" t="n"/>
      <c r="F477" s="16" t="n"/>
      <c r="G477" s="16" t="n"/>
      <c r="H477" s="16" t="n"/>
      <c r="I477" s="16" t="n"/>
      <c r="J477" s="16" t="n"/>
      <c r="K477" s="16" t="n"/>
      <c r="L477" s="16" t="n"/>
      <c r="M477" s="16" t="n"/>
      <c r="N477" s="16" t="n"/>
      <c r="O477" s="17" t="n"/>
      <c r="P477" s="16" t="n"/>
      <c r="Q477" s="16" t="n"/>
      <c r="R477" s="16" t="n"/>
      <c r="S477" s="16" t="n"/>
      <c r="T477" s="16" t="n"/>
      <c r="U477" s="16" t="n"/>
      <c r="V477" s="16" t="n"/>
      <c r="W477" s="16" t="n"/>
      <c r="X477" s="16" t="n"/>
      <c r="Y477" s="16" t="n"/>
      <c r="Z477" s="16" t="n"/>
      <c r="AA477" s="16" t="n"/>
      <c r="AB477" s="18" t="n"/>
      <c r="AC477" s="15">
        <f>IF(A477="","",IF(AB477=_xlfn.MAXIFS('Register'!$AB$6:$AB$505,'Register'!$A$6:$A$505,A477),"Y","N"))</f>
        <v/>
      </c>
      <c r="AD477" s="15">
        <f>IF(A477="","",COUNTIF('Register'!$A$6:$A$505,A477))</f>
        <v/>
      </c>
      <c r="AE477" s="17" t="n"/>
      <c r="AF477" s="16" t="n"/>
      <c r="AG477" s="17" t="n"/>
      <c r="AH477" s="17" t="n"/>
      <c r="AI477" s="19">
        <f>IF(AE477="","",AE477+IF(AF477="",TA_NOC,AF477))</f>
        <v/>
      </c>
      <c r="AJ477" s="15">
        <f>IF(AE477="","",IF(AG477="",DATADATE,AG477)-AE477)</f>
        <v/>
      </c>
      <c r="AK477" s="15">
        <f>IF(OR(AI477="",AG477&lt;&gt;""),"",IF(DATADATE&gt;AI477,"OVERDUE",""))</f>
        <v/>
      </c>
      <c r="AL477" s="15">
        <f>IF(AH477="","",IF(AH477&lt;DATADATE,"EXPIRED",IF(AH477-DATADATE&lt;=WARN_EXP,"EXPIRING","")))</f>
        <v/>
      </c>
      <c r="AM477" s="16" t="n"/>
      <c r="AN477" s="16" t="n"/>
      <c r="AO477" s="16" t="n"/>
      <c r="AP477" s="16" t="n"/>
    </row>
    <row r="478">
      <c r="A478" s="15">
        <f>IF(AA478="","",PROJ&amp;"-NOC-"&amp;Z478&amp;"-"&amp;TEXT(AA478,"0000"))</f>
        <v/>
      </c>
      <c r="B478" s="15">
        <f>IF(AA478="","",PROJ)</f>
        <v/>
      </c>
      <c r="C478" s="16" t="n"/>
      <c r="D478" s="16" t="n"/>
      <c r="E478" s="16" t="n"/>
      <c r="F478" s="16" t="n"/>
      <c r="G478" s="16" t="n"/>
      <c r="H478" s="16" t="n"/>
      <c r="I478" s="16" t="n"/>
      <c r="J478" s="16" t="n"/>
      <c r="K478" s="16" t="n"/>
      <c r="L478" s="16" t="n"/>
      <c r="M478" s="16" t="n"/>
      <c r="N478" s="16" t="n"/>
      <c r="O478" s="17" t="n"/>
      <c r="P478" s="16" t="n"/>
      <c r="Q478" s="16" t="n"/>
      <c r="R478" s="16" t="n"/>
      <c r="S478" s="16" t="n"/>
      <c r="T478" s="16" t="n"/>
      <c r="U478" s="16" t="n"/>
      <c r="V478" s="16" t="n"/>
      <c r="W478" s="16" t="n"/>
      <c r="X478" s="16" t="n"/>
      <c r="Y478" s="16" t="n"/>
      <c r="Z478" s="16" t="n"/>
      <c r="AA478" s="16" t="n"/>
      <c r="AB478" s="18" t="n"/>
      <c r="AC478" s="15">
        <f>IF(A478="","",IF(AB478=_xlfn.MAXIFS('Register'!$AB$6:$AB$505,'Register'!$A$6:$A$505,A478),"Y","N"))</f>
        <v/>
      </c>
      <c r="AD478" s="15">
        <f>IF(A478="","",COUNTIF('Register'!$A$6:$A$505,A478))</f>
        <v/>
      </c>
      <c r="AE478" s="17" t="n"/>
      <c r="AF478" s="16" t="n"/>
      <c r="AG478" s="17" t="n"/>
      <c r="AH478" s="17" t="n"/>
      <c r="AI478" s="19">
        <f>IF(AE478="","",AE478+IF(AF478="",TA_NOC,AF478))</f>
        <v/>
      </c>
      <c r="AJ478" s="15">
        <f>IF(AE478="","",IF(AG478="",DATADATE,AG478)-AE478)</f>
        <v/>
      </c>
      <c r="AK478" s="15">
        <f>IF(OR(AI478="",AG478&lt;&gt;""),"",IF(DATADATE&gt;AI478,"OVERDUE",""))</f>
        <v/>
      </c>
      <c r="AL478" s="15">
        <f>IF(AH478="","",IF(AH478&lt;DATADATE,"EXPIRED",IF(AH478-DATADATE&lt;=WARN_EXP,"EXPIRING","")))</f>
        <v/>
      </c>
      <c r="AM478" s="16" t="n"/>
      <c r="AN478" s="16" t="n"/>
      <c r="AO478" s="16" t="n"/>
      <c r="AP478" s="16" t="n"/>
    </row>
    <row r="479">
      <c r="A479" s="15">
        <f>IF(AA479="","",PROJ&amp;"-NOC-"&amp;Z479&amp;"-"&amp;TEXT(AA479,"0000"))</f>
        <v/>
      </c>
      <c r="B479" s="15">
        <f>IF(AA479="","",PROJ)</f>
        <v/>
      </c>
      <c r="C479" s="16" t="n"/>
      <c r="D479" s="16" t="n"/>
      <c r="E479" s="16" t="n"/>
      <c r="F479" s="16" t="n"/>
      <c r="G479" s="16" t="n"/>
      <c r="H479" s="16" t="n"/>
      <c r="I479" s="16" t="n"/>
      <c r="J479" s="16" t="n"/>
      <c r="K479" s="16" t="n"/>
      <c r="L479" s="16" t="n"/>
      <c r="M479" s="16" t="n"/>
      <c r="N479" s="16" t="n"/>
      <c r="O479" s="17" t="n"/>
      <c r="P479" s="16" t="n"/>
      <c r="Q479" s="16" t="n"/>
      <c r="R479" s="16" t="n"/>
      <c r="S479" s="16" t="n"/>
      <c r="T479" s="16" t="n"/>
      <c r="U479" s="16" t="n"/>
      <c r="V479" s="16" t="n"/>
      <c r="W479" s="16" t="n"/>
      <c r="X479" s="16" t="n"/>
      <c r="Y479" s="16" t="n"/>
      <c r="Z479" s="16" t="n"/>
      <c r="AA479" s="16" t="n"/>
      <c r="AB479" s="18" t="n"/>
      <c r="AC479" s="15">
        <f>IF(A479="","",IF(AB479=_xlfn.MAXIFS('Register'!$AB$6:$AB$505,'Register'!$A$6:$A$505,A479),"Y","N"))</f>
        <v/>
      </c>
      <c r="AD479" s="15">
        <f>IF(A479="","",COUNTIF('Register'!$A$6:$A$505,A479))</f>
        <v/>
      </c>
      <c r="AE479" s="17" t="n"/>
      <c r="AF479" s="16" t="n"/>
      <c r="AG479" s="17" t="n"/>
      <c r="AH479" s="17" t="n"/>
      <c r="AI479" s="19">
        <f>IF(AE479="","",AE479+IF(AF479="",TA_NOC,AF479))</f>
        <v/>
      </c>
      <c r="AJ479" s="15">
        <f>IF(AE479="","",IF(AG479="",DATADATE,AG479)-AE479)</f>
        <v/>
      </c>
      <c r="AK479" s="15">
        <f>IF(OR(AI479="",AG479&lt;&gt;""),"",IF(DATADATE&gt;AI479,"OVERDUE",""))</f>
        <v/>
      </c>
      <c r="AL479" s="15">
        <f>IF(AH479="","",IF(AH479&lt;DATADATE,"EXPIRED",IF(AH479-DATADATE&lt;=WARN_EXP,"EXPIRING","")))</f>
        <v/>
      </c>
      <c r="AM479" s="16" t="n"/>
      <c r="AN479" s="16" t="n"/>
      <c r="AO479" s="16" t="n"/>
      <c r="AP479" s="16" t="n"/>
    </row>
    <row r="480">
      <c r="A480" s="15">
        <f>IF(AA480="","",PROJ&amp;"-NOC-"&amp;Z480&amp;"-"&amp;TEXT(AA480,"0000"))</f>
        <v/>
      </c>
      <c r="B480" s="15">
        <f>IF(AA480="","",PROJ)</f>
        <v/>
      </c>
      <c r="C480" s="16" t="n"/>
      <c r="D480" s="16" t="n"/>
      <c r="E480" s="16" t="n"/>
      <c r="F480" s="16" t="n"/>
      <c r="G480" s="16" t="n"/>
      <c r="H480" s="16" t="n"/>
      <c r="I480" s="16" t="n"/>
      <c r="J480" s="16" t="n"/>
      <c r="K480" s="16" t="n"/>
      <c r="L480" s="16" t="n"/>
      <c r="M480" s="16" t="n"/>
      <c r="N480" s="16" t="n"/>
      <c r="O480" s="17" t="n"/>
      <c r="P480" s="16" t="n"/>
      <c r="Q480" s="16" t="n"/>
      <c r="R480" s="16" t="n"/>
      <c r="S480" s="16" t="n"/>
      <c r="T480" s="16" t="n"/>
      <c r="U480" s="16" t="n"/>
      <c r="V480" s="16" t="n"/>
      <c r="W480" s="16" t="n"/>
      <c r="X480" s="16" t="n"/>
      <c r="Y480" s="16" t="n"/>
      <c r="Z480" s="16" t="n"/>
      <c r="AA480" s="16" t="n"/>
      <c r="AB480" s="18" t="n"/>
      <c r="AC480" s="15">
        <f>IF(A480="","",IF(AB480=_xlfn.MAXIFS('Register'!$AB$6:$AB$505,'Register'!$A$6:$A$505,A480),"Y","N"))</f>
        <v/>
      </c>
      <c r="AD480" s="15">
        <f>IF(A480="","",COUNTIF('Register'!$A$6:$A$505,A480))</f>
        <v/>
      </c>
      <c r="AE480" s="17" t="n"/>
      <c r="AF480" s="16" t="n"/>
      <c r="AG480" s="17" t="n"/>
      <c r="AH480" s="17" t="n"/>
      <c r="AI480" s="19">
        <f>IF(AE480="","",AE480+IF(AF480="",TA_NOC,AF480))</f>
        <v/>
      </c>
      <c r="AJ480" s="15">
        <f>IF(AE480="","",IF(AG480="",DATADATE,AG480)-AE480)</f>
        <v/>
      </c>
      <c r="AK480" s="15">
        <f>IF(OR(AI480="",AG480&lt;&gt;""),"",IF(DATADATE&gt;AI480,"OVERDUE",""))</f>
        <v/>
      </c>
      <c r="AL480" s="15">
        <f>IF(AH480="","",IF(AH480&lt;DATADATE,"EXPIRED",IF(AH480-DATADATE&lt;=WARN_EXP,"EXPIRING","")))</f>
        <v/>
      </c>
      <c r="AM480" s="16" t="n"/>
      <c r="AN480" s="16" t="n"/>
      <c r="AO480" s="16" t="n"/>
      <c r="AP480" s="16" t="n"/>
    </row>
    <row r="481">
      <c r="A481" s="15">
        <f>IF(AA481="","",PROJ&amp;"-NOC-"&amp;Z481&amp;"-"&amp;TEXT(AA481,"0000"))</f>
        <v/>
      </c>
      <c r="B481" s="15">
        <f>IF(AA481="","",PROJ)</f>
        <v/>
      </c>
      <c r="C481" s="16" t="n"/>
      <c r="D481" s="16" t="n"/>
      <c r="E481" s="16" t="n"/>
      <c r="F481" s="16" t="n"/>
      <c r="G481" s="16" t="n"/>
      <c r="H481" s="16" t="n"/>
      <c r="I481" s="16" t="n"/>
      <c r="J481" s="16" t="n"/>
      <c r="K481" s="16" t="n"/>
      <c r="L481" s="16" t="n"/>
      <c r="M481" s="16" t="n"/>
      <c r="N481" s="16" t="n"/>
      <c r="O481" s="17" t="n"/>
      <c r="P481" s="16" t="n"/>
      <c r="Q481" s="16" t="n"/>
      <c r="R481" s="16" t="n"/>
      <c r="S481" s="16" t="n"/>
      <c r="T481" s="16" t="n"/>
      <c r="U481" s="16" t="n"/>
      <c r="V481" s="16" t="n"/>
      <c r="W481" s="16" t="n"/>
      <c r="X481" s="16" t="n"/>
      <c r="Y481" s="16" t="n"/>
      <c r="Z481" s="16" t="n"/>
      <c r="AA481" s="16" t="n"/>
      <c r="AB481" s="18" t="n"/>
      <c r="AC481" s="15">
        <f>IF(A481="","",IF(AB481=_xlfn.MAXIFS('Register'!$AB$6:$AB$505,'Register'!$A$6:$A$505,A481),"Y","N"))</f>
        <v/>
      </c>
      <c r="AD481" s="15">
        <f>IF(A481="","",COUNTIF('Register'!$A$6:$A$505,A481))</f>
        <v/>
      </c>
      <c r="AE481" s="17" t="n"/>
      <c r="AF481" s="16" t="n"/>
      <c r="AG481" s="17" t="n"/>
      <c r="AH481" s="17" t="n"/>
      <c r="AI481" s="19">
        <f>IF(AE481="","",AE481+IF(AF481="",TA_NOC,AF481))</f>
        <v/>
      </c>
      <c r="AJ481" s="15">
        <f>IF(AE481="","",IF(AG481="",DATADATE,AG481)-AE481)</f>
        <v/>
      </c>
      <c r="AK481" s="15">
        <f>IF(OR(AI481="",AG481&lt;&gt;""),"",IF(DATADATE&gt;AI481,"OVERDUE",""))</f>
        <v/>
      </c>
      <c r="AL481" s="15">
        <f>IF(AH481="","",IF(AH481&lt;DATADATE,"EXPIRED",IF(AH481-DATADATE&lt;=WARN_EXP,"EXPIRING","")))</f>
        <v/>
      </c>
      <c r="AM481" s="16" t="n"/>
      <c r="AN481" s="16" t="n"/>
      <c r="AO481" s="16" t="n"/>
      <c r="AP481" s="16" t="n"/>
    </row>
    <row r="482">
      <c r="A482" s="15">
        <f>IF(AA482="","",PROJ&amp;"-NOC-"&amp;Z482&amp;"-"&amp;TEXT(AA482,"0000"))</f>
        <v/>
      </c>
      <c r="B482" s="15">
        <f>IF(AA482="","",PROJ)</f>
        <v/>
      </c>
      <c r="C482" s="16" t="n"/>
      <c r="D482" s="16" t="n"/>
      <c r="E482" s="16" t="n"/>
      <c r="F482" s="16" t="n"/>
      <c r="G482" s="16" t="n"/>
      <c r="H482" s="16" t="n"/>
      <c r="I482" s="16" t="n"/>
      <c r="J482" s="16" t="n"/>
      <c r="K482" s="16" t="n"/>
      <c r="L482" s="16" t="n"/>
      <c r="M482" s="16" t="n"/>
      <c r="N482" s="16" t="n"/>
      <c r="O482" s="17" t="n"/>
      <c r="P482" s="16" t="n"/>
      <c r="Q482" s="16" t="n"/>
      <c r="R482" s="16" t="n"/>
      <c r="S482" s="16" t="n"/>
      <c r="T482" s="16" t="n"/>
      <c r="U482" s="16" t="n"/>
      <c r="V482" s="16" t="n"/>
      <c r="W482" s="16" t="n"/>
      <c r="X482" s="16" t="n"/>
      <c r="Y482" s="16" t="n"/>
      <c r="Z482" s="16" t="n"/>
      <c r="AA482" s="16" t="n"/>
      <c r="AB482" s="18" t="n"/>
      <c r="AC482" s="15">
        <f>IF(A482="","",IF(AB482=_xlfn.MAXIFS('Register'!$AB$6:$AB$505,'Register'!$A$6:$A$505,A482),"Y","N"))</f>
        <v/>
      </c>
      <c r="AD482" s="15">
        <f>IF(A482="","",COUNTIF('Register'!$A$6:$A$505,A482))</f>
        <v/>
      </c>
      <c r="AE482" s="17" t="n"/>
      <c r="AF482" s="16" t="n"/>
      <c r="AG482" s="17" t="n"/>
      <c r="AH482" s="17" t="n"/>
      <c r="AI482" s="19">
        <f>IF(AE482="","",AE482+IF(AF482="",TA_NOC,AF482))</f>
        <v/>
      </c>
      <c r="AJ482" s="15">
        <f>IF(AE482="","",IF(AG482="",DATADATE,AG482)-AE482)</f>
        <v/>
      </c>
      <c r="AK482" s="15">
        <f>IF(OR(AI482="",AG482&lt;&gt;""),"",IF(DATADATE&gt;AI482,"OVERDUE",""))</f>
        <v/>
      </c>
      <c r="AL482" s="15">
        <f>IF(AH482="","",IF(AH482&lt;DATADATE,"EXPIRED",IF(AH482-DATADATE&lt;=WARN_EXP,"EXPIRING","")))</f>
        <v/>
      </c>
      <c r="AM482" s="16" t="n"/>
      <c r="AN482" s="16" t="n"/>
      <c r="AO482" s="16" t="n"/>
      <c r="AP482" s="16" t="n"/>
    </row>
    <row r="483">
      <c r="A483" s="15">
        <f>IF(AA483="","",PROJ&amp;"-NOC-"&amp;Z483&amp;"-"&amp;TEXT(AA483,"0000"))</f>
        <v/>
      </c>
      <c r="B483" s="15">
        <f>IF(AA483="","",PROJ)</f>
        <v/>
      </c>
      <c r="C483" s="16" t="n"/>
      <c r="D483" s="16" t="n"/>
      <c r="E483" s="16" t="n"/>
      <c r="F483" s="16" t="n"/>
      <c r="G483" s="16" t="n"/>
      <c r="H483" s="16" t="n"/>
      <c r="I483" s="16" t="n"/>
      <c r="J483" s="16" t="n"/>
      <c r="K483" s="16" t="n"/>
      <c r="L483" s="16" t="n"/>
      <c r="M483" s="16" t="n"/>
      <c r="N483" s="16" t="n"/>
      <c r="O483" s="17" t="n"/>
      <c r="P483" s="16" t="n"/>
      <c r="Q483" s="16" t="n"/>
      <c r="R483" s="16" t="n"/>
      <c r="S483" s="16" t="n"/>
      <c r="T483" s="16" t="n"/>
      <c r="U483" s="16" t="n"/>
      <c r="V483" s="16" t="n"/>
      <c r="W483" s="16" t="n"/>
      <c r="X483" s="16" t="n"/>
      <c r="Y483" s="16" t="n"/>
      <c r="Z483" s="16" t="n"/>
      <c r="AA483" s="16" t="n"/>
      <c r="AB483" s="18" t="n"/>
      <c r="AC483" s="15">
        <f>IF(A483="","",IF(AB483=_xlfn.MAXIFS('Register'!$AB$6:$AB$505,'Register'!$A$6:$A$505,A483),"Y","N"))</f>
        <v/>
      </c>
      <c r="AD483" s="15">
        <f>IF(A483="","",COUNTIF('Register'!$A$6:$A$505,A483))</f>
        <v/>
      </c>
      <c r="AE483" s="17" t="n"/>
      <c r="AF483" s="16" t="n"/>
      <c r="AG483" s="17" t="n"/>
      <c r="AH483" s="17" t="n"/>
      <c r="AI483" s="19">
        <f>IF(AE483="","",AE483+IF(AF483="",TA_NOC,AF483))</f>
        <v/>
      </c>
      <c r="AJ483" s="15">
        <f>IF(AE483="","",IF(AG483="",DATADATE,AG483)-AE483)</f>
        <v/>
      </c>
      <c r="AK483" s="15">
        <f>IF(OR(AI483="",AG483&lt;&gt;""),"",IF(DATADATE&gt;AI483,"OVERDUE",""))</f>
        <v/>
      </c>
      <c r="AL483" s="15">
        <f>IF(AH483="","",IF(AH483&lt;DATADATE,"EXPIRED",IF(AH483-DATADATE&lt;=WARN_EXP,"EXPIRING","")))</f>
        <v/>
      </c>
      <c r="AM483" s="16" t="n"/>
      <c r="AN483" s="16" t="n"/>
      <c r="AO483" s="16" t="n"/>
      <c r="AP483" s="16" t="n"/>
    </row>
    <row r="484">
      <c r="A484" s="15">
        <f>IF(AA484="","",PROJ&amp;"-NOC-"&amp;Z484&amp;"-"&amp;TEXT(AA484,"0000"))</f>
        <v/>
      </c>
      <c r="B484" s="15">
        <f>IF(AA484="","",PROJ)</f>
        <v/>
      </c>
      <c r="C484" s="16" t="n"/>
      <c r="D484" s="16" t="n"/>
      <c r="E484" s="16" t="n"/>
      <c r="F484" s="16" t="n"/>
      <c r="G484" s="16" t="n"/>
      <c r="H484" s="16" t="n"/>
      <c r="I484" s="16" t="n"/>
      <c r="J484" s="16" t="n"/>
      <c r="K484" s="16" t="n"/>
      <c r="L484" s="16" t="n"/>
      <c r="M484" s="16" t="n"/>
      <c r="N484" s="16" t="n"/>
      <c r="O484" s="17" t="n"/>
      <c r="P484" s="16" t="n"/>
      <c r="Q484" s="16" t="n"/>
      <c r="R484" s="16" t="n"/>
      <c r="S484" s="16" t="n"/>
      <c r="T484" s="16" t="n"/>
      <c r="U484" s="16" t="n"/>
      <c r="V484" s="16" t="n"/>
      <c r="W484" s="16" t="n"/>
      <c r="X484" s="16" t="n"/>
      <c r="Y484" s="16" t="n"/>
      <c r="Z484" s="16" t="n"/>
      <c r="AA484" s="16" t="n"/>
      <c r="AB484" s="18" t="n"/>
      <c r="AC484" s="15">
        <f>IF(A484="","",IF(AB484=_xlfn.MAXIFS('Register'!$AB$6:$AB$505,'Register'!$A$6:$A$505,A484),"Y","N"))</f>
        <v/>
      </c>
      <c r="AD484" s="15">
        <f>IF(A484="","",COUNTIF('Register'!$A$6:$A$505,A484))</f>
        <v/>
      </c>
      <c r="AE484" s="17" t="n"/>
      <c r="AF484" s="16" t="n"/>
      <c r="AG484" s="17" t="n"/>
      <c r="AH484" s="17" t="n"/>
      <c r="AI484" s="19">
        <f>IF(AE484="","",AE484+IF(AF484="",TA_NOC,AF484))</f>
        <v/>
      </c>
      <c r="AJ484" s="15">
        <f>IF(AE484="","",IF(AG484="",DATADATE,AG484)-AE484)</f>
        <v/>
      </c>
      <c r="AK484" s="15">
        <f>IF(OR(AI484="",AG484&lt;&gt;""),"",IF(DATADATE&gt;AI484,"OVERDUE",""))</f>
        <v/>
      </c>
      <c r="AL484" s="15">
        <f>IF(AH484="","",IF(AH484&lt;DATADATE,"EXPIRED",IF(AH484-DATADATE&lt;=WARN_EXP,"EXPIRING","")))</f>
        <v/>
      </c>
      <c r="AM484" s="16" t="n"/>
      <c r="AN484" s="16" t="n"/>
      <c r="AO484" s="16" t="n"/>
      <c r="AP484" s="16" t="n"/>
    </row>
    <row r="485">
      <c r="A485" s="15">
        <f>IF(AA485="","",PROJ&amp;"-NOC-"&amp;Z485&amp;"-"&amp;TEXT(AA485,"0000"))</f>
        <v/>
      </c>
      <c r="B485" s="15">
        <f>IF(AA485="","",PROJ)</f>
        <v/>
      </c>
      <c r="C485" s="16" t="n"/>
      <c r="D485" s="16" t="n"/>
      <c r="E485" s="16" t="n"/>
      <c r="F485" s="16" t="n"/>
      <c r="G485" s="16" t="n"/>
      <c r="H485" s="16" t="n"/>
      <c r="I485" s="16" t="n"/>
      <c r="J485" s="16" t="n"/>
      <c r="K485" s="16" t="n"/>
      <c r="L485" s="16" t="n"/>
      <c r="M485" s="16" t="n"/>
      <c r="N485" s="16" t="n"/>
      <c r="O485" s="17" t="n"/>
      <c r="P485" s="16" t="n"/>
      <c r="Q485" s="16" t="n"/>
      <c r="R485" s="16" t="n"/>
      <c r="S485" s="16" t="n"/>
      <c r="T485" s="16" t="n"/>
      <c r="U485" s="16" t="n"/>
      <c r="V485" s="16" t="n"/>
      <c r="W485" s="16" t="n"/>
      <c r="X485" s="16" t="n"/>
      <c r="Y485" s="16" t="n"/>
      <c r="Z485" s="16" t="n"/>
      <c r="AA485" s="16" t="n"/>
      <c r="AB485" s="18" t="n"/>
      <c r="AC485" s="15">
        <f>IF(A485="","",IF(AB485=_xlfn.MAXIFS('Register'!$AB$6:$AB$505,'Register'!$A$6:$A$505,A485),"Y","N"))</f>
        <v/>
      </c>
      <c r="AD485" s="15">
        <f>IF(A485="","",COUNTIF('Register'!$A$6:$A$505,A485))</f>
        <v/>
      </c>
      <c r="AE485" s="17" t="n"/>
      <c r="AF485" s="16" t="n"/>
      <c r="AG485" s="17" t="n"/>
      <c r="AH485" s="17" t="n"/>
      <c r="AI485" s="19">
        <f>IF(AE485="","",AE485+IF(AF485="",TA_NOC,AF485))</f>
        <v/>
      </c>
      <c r="AJ485" s="15">
        <f>IF(AE485="","",IF(AG485="",DATADATE,AG485)-AE485)</f>
        <v/>
      </c>
      <c r="AK485" s="15">
        <f>IF(OR(AI485="",AG485&lt;&gt;""),"",IF(DATADATE&gt;AI485,"OVERDUE",""))</f>
        <v/>
      </c>
      <c r="AL485" s="15">
        <f>IF(AH485="","",IF(AH485&lt;DATADATE,"EXPIRED",IF(AH485-DATADATE&lt;=WARN_EXP,"EXPIRING","")))</f>
        <v/>
      </c>
      <c r="AM485" s="16" t="n"/>
      <c r="AN485" s="16" t="n"/>
      <c r="AO485" s="16" t="n"/>
      <c r="AP485" s="16" t="n"/>
    </row>
    <row r="486">
      <c r="A486" s="15">
        <f>IF(AA486="","",PROJ&amp;"-NOC-"&amp;Z486&amp;"-"&amp;TEXT(AA486,"0000"))</f>
        <v/>
      </c>
      <c r="B486" s="15">
        <f>IF(AA486="","",PROJ)</f>
        <v/>
      </c>
      <c r="C486" s="16" t="n"/>
      <c r="D486" s="16" t="n"/>
      <c r="E486" s="16" t="n"/>
      <c r="F486" s="16" t="n"/>
      <c r="G486" s="16" t="n"/>
      <c r="H486" s="16" t="n"/>
      <c r="I486" s="16" t="n"/>
      <c r="J486" s="16" t="n"/>
      <c r="K486" s="16" t="n"/>
      <c r="L486" s="16" t="n"/>
      <c r="M486" s="16" t="n"/>
      <c r="N486" s="16" t="n"/>
      <c r="O486" s="17" t="n"/>
      <c r="P486" s="16" t="n"/>
      <c r="Q486" s="16" t="n"/>
      <c r="R486" s="16" t="n"/>
      <c r="S486" s="16" t="n"/>
      <c r="T486" s="16" t="n"/>
      <c r="U486" s="16" t="n"/>
      <c r="V486" s="16" t="n"/>
      <c r="W486" s="16" t="n"/>
      <c r="X486" s="16" t="n"/>
      <c r="Y486" s="16" t="n"/>
      <c r="Z486" s="16" t="n"/>
      <c r="AA486" s="16" t="n"/>
      <c r="AB486" s="18" t="n"/>
      <c r="AC486" s="15">
        <f>IF(A486="","",IF(AB486=_xlfn.MAXIFS('Register'!$AB$6:$AB$505,'Register'!$A$6:$A$505,A486),"Y","N"))</f>
        <v/>
      </c>
      <c r="AD486" s="15">
        <f>IF(A486="","",COUNTIF('Register'!$A$6:$A$505,A486))</f>
        <v/>
      </c>
      <c r="AE486" s="17" t="n"/>
      <c r="AF486" s="16" t="n"/>
      <c r="AG486" s="17" t="n"/>
      <c r="AH486" s="17" t="n"/>
      <c r="AI486" s="19">
        <f>IF(AE486="","",AE486+IF(AF486="",TA_NOC,AF486))</f>
        <v/>
      </c>
      <c r="AJ486" s="15">
        <f>IF(AE486="","",IF(AG486="",DATADATE,AG486)-AE486)</f>
        <v/>
      </c>
      <c r="AK486" s="15">
        <f>IF(OR(AI486="",AG486&lt;&gt;""),"",IF(DATADATE&gt;AI486,"OVERDUE",""))</f>
        <v/>
      </c>
      <c r="AL486" s="15">
        <f>IF(AH486="","",IF(AH486&lt;DATADATE,"EXPIRED",IF(AH486-DATADATE&lt;=WARN_EXP,"EXPIRING","")))</f>
        <v/>
      </c>
      <c r="AM486" s="16" t="n"/>
      <c r="AN486" s="16" t="n"/>
      <c r="AO486" s="16" t="n"/>
      <c r="AP486" s="16" t="n"/>
    </row>
    <row r="487">
      <c r="A487" s="15">
        <f>IF(AA487="","",PROJ&amp;"-NOC-"&amp;Z487&amp;"-"&amp;TEXT(AA487,"0000"))</f>
        <v/>
      </c>
      <c r="B487" s="15">
        <f>IF(AA487="","",PROJ)</f>
        <v/>
      </c>
      <c r="C487" s="16" t="n"/>
      <c r="D487" s="16" t="n"/>
      <c r="E487" s="16" t="n"/>
      <c r="F487" s="16" t="n"/>
      <c r="G487" s="16" t="n"/>
      <c r="H487" s="16" t="n"/>
      <c r="I487" s="16" t="n"/>
      <c r="J487" s="16" t="n"/>
      <c r="K487" s="16" t="n"/>
      <c r="L487" s="16" t="n"/>
      <c r="M487" s="16" t="n"/>
      <c r="N487" s="16" t="n"/>
      <c r="O487" s="17" t="n"/>
      <c r="P487" s="16" t="n"/>
      <c r="Q487" s="16" t="n"/>
      <c r="R487" s="16" t="n"/>
      <c r="S487" s="16" t="n"/>
      <c r="T487" s="16" t="n"/>
      <c r="U487" s="16" t="n"/>
      <c r="V487" s="16" t="n"/>
      <c r="W487" s="16" t="n"/>
      <c r="X487" s="16" t="n"/>
      <c r="Y487" s="16" t="n"/>
      <c r="Z487" s="16" t="n"/>
      <c r="AA487" s="16" t="n"/>
      <c r="AB487" s="18" t="n"/>
      <c r="AC487" s="15">
        <f>IF(A487="","",IF(AB487=_xlfn.MAXIFS('Register'!$AB$6:$AB$505,'Register'!$A$6:$A$505,A487),"Y","N"))</f>
        <v/>
      </c>
      <c r="AD487" s="15">
        <f>IF(A487="","",COUNTIF('Register'!$A$6:$A$505,A487))</f>
        <v/>
      </c>
      <c r="AE487" s="17" t="n"/>
      <c r="AF487" s="16" t="n"/>
      <c r="AG487" s="17" t="n"/>
      <c r="AH487" s="17" t="n"/>
      <c r="AI487" s="19">
        <f>IF(AE487="","",AE487+IF(AF487="",TA_NOC,AF487))</f>
        <v/>
      </c>
      <c r="AJ487" s="15">
        <f>IF(AE487="","",IF(AG487="",DATADATE,AG487)-AE487)</f>
        <v/>
      </c>
      <c r="AK487" s="15">
        <f>IF(OR(AI487="",AG487&lt;&gt;""),"",IF(DATADATE&gt;AI487,"OVERDUE",""))</f>
        <v/>
      </c>
      <c r="AL487" s="15">
        <f>IF(AH487="","",IF(AH487&lt;DATADATE,"EXPIRED",IF(AH487-DATADATE&lt;=WARN_EXP,"EXPIRING","")))</f>
        <v/>
      </c>
      <c r="AM487" s="16" t="n"/>
      <c r="AN487" s="16" t="n"/>
      <c r="AO487" s="16" t="n"/>
      <c r="AP487" s="16" t="n"/>
    </row>
    <row r="488">
      <c r="A488" s="15">
        <f>IF(AA488="","",PROJ&amp;"-NOC-"&amp;Z488&amp;"-"&amp;TEXT(AA488,"0000"))</f>
        <v/>
      </c>
      <c r="B488" s="15">
        <f>IF(AA488="","",PROJ)</f>
        <v/>
      </c>
      <c r="C488" s="16" t="n"/>
      <c r="D488" s="16" t="n"/>
      <c r="E488" s="16" t="n"/>
      <c r="F488" s="16" t="n"/>
      <c r="G488" s="16" t="n"/>
      <c r="H488" s="16" t="n"/>
      <c r="I488" s="16" t="n"/>
      <c r="J488" s="16" t="n"/>
      <c r="K488" s="16" t="n"/>
      <c r="L488" s="16" t="n"/>
      <c r="M488" s="16" t="n"/>
      <c r="N488" s="16" t="n"/>
      <c r="O488" s="17" t="n"/>
      <c r="P488" s="16" t="n"/>
      <c r="Q488" s="16" t="n"/>
      <c r="R488" s="16" t="n"/>
      <c r="S488" s="16" t="n"/>
      <c r="T488" s="16" t="n"/>
      <c r="U488" s="16" t="n"/>
      <c r="V488" s="16" t="n"/>
      <c r="W488" s="16" t="n"/>
      <c r="X488" s="16" t="n"/>
      <c r="Y488" s="16" t="n"/>
      <c r="Z488" s="16" t="n"/>
      <c r="AA488" s="16" t="n"/>
      <c r="AB488" s="18" t="n"/>
      <c r="AC488" s="15">
        <f>IF(A488="","",IF(AB488=_xlfn.MAXIFS('Register'!$AB$6:$AB$505,'Register'!$A$6:$A$505,A488),"Y","N"))</f>
        <v/>
      </c>
      <c r="AD488" s="15">
        <f>IF(A488="","",COUNTIF('Register'!$A$6:$A$505,A488))</f>
        <v/>
      </c>
      <c r="AE488" s="17" t="n"/>
      <c r="AF488" s="16" t="n"/>
      <c r="AG488" s="17" t="n"/>
      <c r="AH488" s="17" t="n"/>
      <c r="AI488" s="19">
        <f>IF(AE488="","",AE488+IF(AF488="",TA_NOC,AF488))</f>
        <v/>
      </c>
      <c r="AJ488" s="15">
        <f>IF(AE488="","",IF(AG488="",DATADATE,AG488)-AE488)</f>
        <v/>
      </c>
      <c r="AK488" s="15">
        <f>IF(OR(AI488="",AG488&lt;&gt;""),"",IF(DATADATE&gt;AI488,"OVERDUE",""))</f>
        <v/>
      </c>
      <c r="AL488" s="15">
        <f>IF(AH488="","",IF(AH488&lt;DATADATE,"EXPIRED",IF(AH488-DATADATE&lt;=WARN_EXP,"EXPIRING","")))</f>
        <v/>
      </c>
      <c r="AM488" s="16" t="n"/>
      <c r="AN488" s="16" t="n"/>
      <c r="AO488" s="16" t="n"/>
      <c r="AP488" s="16" t="n"/>
    </row>
    <row r="489">
      <c r="A489" s="15">
        <f>IF(AA489="","",PROJ&amp;"-NOC-"&amp;Z489&amp;"-"&amp;TEXT(AA489,"0000"))</f>
        <v/>
      </c>
      <c r="B489" s="15">
        <f>IF(AA489="","",PROJ)</f>
        <v/>
      </c>
      <c r="C489" s="16" t="n"/>
      <c r="D489" s="16" t="n"/>
      <c r="E489" s="16" t="n"/>
      <c r="F489" s="16" t="n"/>
      <c r="G489" s="16" t="n"/>
      <c r="H489" s="16" t="n"/>
      <c r="I489" s="16" t="n"/>
      <c r="J489" s="16" t="n"/>
      <c r="K489" s="16" t="n"/>
      <c r="L489" s="16" t="n"/>
      <c r="M489" s="16" t="n"/>
      <c r="N489" s="16" t="n"/>
      <c r="O489" s="17" t="n"/>
      <c r="P489" s="16" t="n"/>
      <c r="Q489" s="16" t="n"/>
      <c r="R489" s="16" t="n"/>
      <c r="S489" s="16" t="n"/>
      <c r="T489" s="16" t="n"/>
      <c r="U489" s="16" t="n"/>
      <c r="V489" s="16" t="n"/>
      <c r="W489" s="16" t="n"/>
      <c r="X489" s="16" t="n"/>
      <c r="Y489" s="16" t="n"/>
      <c r="Z489" s="16" t="n"/>
      <c r="AA489" s="16" t="n"/>
      <c r="AB489" s="18" t="n"/>
      <c r="AC489" s="15">
        <f>IF(A489="","",IF(AB489=_xlfn.MAXIFS('Register'!$AB$6:$AB$505,'Register'!$A$6:$A$505,A489),"Y","N"))</f>
        <v/>
      </c>
      <c r="AD489" s="15">
        <f>IF(A489="","",COUNTIF('Register'!$A$6:$A$505,A489))</f>
        <v/>
      </c>
      <c r="AE489" s="17" t="n"/>
      <c r="AF489" s="16" t="n"/>
      <c r="AG489" s="17" t="n"/>
      <c r="AH489" s="17" t="n"/>
      <c r="AI489" s="19">
        <f>IF(AE489="","",AE489+IF(AF489="",TA_NOC,AF489))</f>
        <v/>
      </c>
      <c r="AJ489" s="15">
        <f>IF(AE489="","",IF(AG489="",DATADATE,AG489)-AE489)</f>
        <v/>
      </c>
      <c r="AK489" s="15">
        <f>IF(OR(AI489="",AG489&lt;&gt;""),"",IF(DATADATE&gt;AI489,"OVERDUE",""))</f>
        <v/>
      </c>
      <c r="AL489" s="15">
        <f>IF(AH489="","",IF(AH489&lt;DATADATE,"EXPIRED",IF(AH489-DATADATE&lt;=WARN_EXP,"EXPIRING","")))</f>
        <v/>
      </c>
      <c r="AM489" s="16" t="n"/>
      <c r="AN489" s="16" t="n"/>
      <c r="AO489" s="16" t="n"/>
      <c r="AP489" s="16" t="n"/>
    </row>
    <row r="490">
      <c r="A490" s="15">
        <f>IF(AA490="","",PROJ&amp;"-NOC-"&amp;Z490&amp;"-"&amp;TEXT(AA490,"0000"))</f>
        <v/>
      </c>
      <c r="B490" s="15">
        <f>IF(AA490="","",PROJ)</f>
        <v/>
      </c>
      <c r="C490" s="16" t="n"/>
      <c r="D490" s="16" t="n"/>
      <c r="E490" s="16" t="n"/>
      <c r="F490" s="16" t="n"/>
      <c r="G490" s="16" t="n"/>
      <c r="H490" s="16" t="n"/>
      <c r="I490" s="16" t="n"/>
      <c r="J490" s="16" t="n"/>
      <c r="K490" s="16" t="n"/>
      <c r="L490" s="16" t="n"/>
      <c r="M490" s="16" t="n"/>
      <c r="N490" s="16" t="n"/>
      <c r="O490" s="17" t="n"/>
      <c r="P490" s="16" t="n"/>
      <c r="Q490" s="16" t="n"/>
      <c r="R490" s="16" t="n"/>
      <c r="S490" s="16" t="n"/>
      <c r="T490" s="16" t="n"/>
      <c r="U490" s="16" t="n"/>
      <c r="V490" s="16" t="n"/>
      <c r="W490" s="16" t="n"/>
      <c r="X490" s="16" t="n"/>
      <c r="Y490" s="16" t="n"/>
      <c r="Z490" s="16" t="n"/>
      <c r="AA490" s="16" t="n"/>
      <c r="AB490" s="18" t="n"/>
      <c r="AC490" s="15">
        <f>IF(A490="","",IF(AB490=_xlfn.MAXIFS('Register'!$AB$6:$AB$505,'Register'!$A$6:$A$505,A490),"Y","N"))</f>
        <v/>
      </c>
      <c r="AD490" s="15">
        <f>IF(A490="","",COUNTIF('Register'!$A$6:$A$505,A490))</f>
        <v/>
      </c>
      <c r="AE490" s="17" t="n"/>
      <c r="AF490" s="16" t="n"/>
      <c r="AG490" s="17" t="n"/>
      <c r="AH490" s="17" t="n"/>
      <c r="AI490" s="19">
        <f>IF(AE490="","",AE490+IF(AF490="",TA_NOC,AF490))</f>
        <v/>
      </c>
      <c r="AJ490" s="15">
        <f>IF(AE490="","",IF(AG490="",DATADATE,AG490)-AE490)</f>
        <v/>
      </c>
      <c r="AK490" s="15">
        <f>IF(OR(AI490="",AG490&lt;&gt;""),"",IF(DATADATE&gt;AI490,"OVERDUE",""))</f>
        <v/>
      </c>
      <c r="AL490" s="15">
        <f>IF(AH490="","",IF(AH490&lt;DATADATE,"EXPIRED",IF(AH490-DATADATE&lt;=WARN_EXP,"EXPIRING","")))</f>
        <v/>
      </c>
      <c r="AM490" s="16" t="n"/>
      <c r="AN490" s="16" t="n"/>
      <c r="AO490" s="16" t="n"/>
      <c r="AP490" s="16" t="n"/>
    </row>
    <row r="491">
      <c r="A491" s="15">
        <f>IF(AA491="","",PROJ&amp;"-NOC-"&amp;Z491&amp;"-"&amp;TEXT(AA491,"0000"))</f>
        <v/>
      </c>
      <c r="B491" s="15">
        <f>IF(AA491="","",PROJ)</f>
        <v/>
      </c>
      <c r="C491" s="16" t="n"/>
      <c r="D491" s="16" t="n"/>
      <c r="E491" s="16" t="n"/>
      <c r="F491" s="16" t="n"/>
      <c r="G491" s="16" t="n"/>
      <c r="H491" s="16" t="n"/>
      <c r="I491" s="16" t="n"/>
      <c r="J491" s="16" t="n"/>
      <c r="K491" s="16" t="n"/>
      <c r="L491" s="16" t="n"/>
      <c r="M491" s="16" t="n"/>
      <c r="N491" s="16" t="n"/>
      <c r="O491" s="17" t="n"/>
      <c r="P491" s="16" t="n"/>
      <c r="Q491" s="16" t="n"/>
      <c r="R491" s="16" t="n"/>
      <c r="S491" s="16" t="n"/>
      <c r="T491" s="16" t="n"/>
      <c r="U491" s="16" t="n"/>
      <c r="V491" s="16" t="n"/>
      <c r="W491" s="16" t="n"/>
      <c r="X491" s="16" t="n"/>
      <c r="Y491" s="16" t="n"/>
      <c r="Z491" s="16" t="n"/>
      <c r="AA491" s="16" t="n"/>
      <c r="AB491" s="18" t="n"/>
      <c r="AC491" s="15">
        <f>IF(A491="","",IF(AB491=_xlfn.MAXIFS('Register'!$AB$6:$AB$505,'Register'!$A$6:$A$505,A491),"Y","N"))</f>
        <v/>
      </c>
      <c r="AD491" s="15">
        <f>IF(A491="","",COUNTIF('Register'!$A$6:$A$505,A491))</f>
        <v/>
      </c>
      <c r="AE491" s="17" t="n"/>
      <c r="AF491" s="16" t="n"/>
      <c r="AG491" s="17" t="n"/>
      <c r="AH491" s="17" t="n"/>
      <c r="AI491" s="19">
        <f>IF(AE491="","",AE491+IF(AF491="",TA_NOC,AF491))</f>
        <v/>
      </c>
      <c r="AJ491" s="15">
        <f>IF(AE491="","",IF(AG491="",DATADATE,AG491)-AE491)</f>
        <v/>
      </c>
      <c r="AK491" s="15">
        <f>IF(OR(AI491="",AG491&lt;&gt;""),"",IF(DATADATE&gt;AI491,"OVERDUE",""))</f>
        <v/>
      </c>
      <c r="AL491" s="15">
        <f>IF(AH491="","",IF(AH491&lt;DATADATE,"EXPIRED",IF(AH491-DATADATE&lt;=WARN_EXP,"EXPIRING","")))</f>
        <v/>
      </c>
      <c r="AM491" s="16" t="n"/>
      <c r="AN491" s="16" t="n"/>
      <c r="AO491" s="16" t="n"/>
      <c r="AP491" s="16" t="n"/>
    </row>
    <row r="492">
      <c r="A492" s="15">
        <f>IF(AA492="","",PROJ&amp;"-NOC-"&amp;Z492&amp;"-"&amp;TEXT(AA492,"0000"))</f>
        <v/>
      </c>
      <c r="B492" s="15">
        <f>IF(AA492="","",PROJ)</f>
        <v/>
      </c>
      <c r="C492" s="16" t="n"/>
      <c r="D492" s="16" t="n"/>
      <c r="E492" s="16" t="n"/>
      <c r="F492" s="16" t="n"/>
      <c r="G492" s="16" t="n"/>
      <c r="H492" s="16" t="n"/>
      <c r="I492" s="16" t="n"/>
      <c r="J492" s="16" t="n"/>
      <c r="K492" s="16" t="n"/>
      <c r="L492" s="16" t="n"/>
      <c r="M492" s="16" t="n"/>
      <c r="N492" s="16" t="n"/>
      <c r="O492" s="17" t="n"/>
      <c r="P492" s="16" t="n"/>
      <c r="Q492" s="16" t="n"/>
      <c r="R492" s="16" t="n"/>
      <c r="S492" s="16" t="n"/>
      <c r="T492" s="16" t="n"/>
      <c r="U492" s="16" t="n"/>
      <c r="V492" s="16" t="n"/>
      <c r="W492" s="16" t="n"/>
      <c r="X492" s="16" t="n"/>
      <c r="Y492" s="16" t="n"/>
      <c r="Z492" s="16" t="n"/>
      <c r="AA492" s="16" t="n"/>
      <c r="AB492" s="18" t="n"/>
      <c r="AC492" s="15">
        <f>IF(A492="","",IF(AB492=_xlfn.MAXIFS('Register'!$AB$6:$AB$505,'Register'!$A$6:$A$505,A492),"Y","N"))</f>
        <v/>
      </c>
      <c r="AD492" s="15">
        <f>IF(A492="","",COUNTIF('Register'!$A$6:$A$505,A492))</f>
        <v/>
      </c>
      <c r="AE492" s="17" t="n"/>
      <c r="AF492" s="16" t="n"/>
      <c r="AG492" s="17" t="n"/>
      <c r="AH492" s="17" t="n"/>
      <c r="AI492" s="19">
        <f>IF(AE492="","",AE492+IF(AF492="",TA_NOC,AF492))</f>
        <v/>
      </c>
      <c r="AJ492" s="15">
        <f>IF(AE492="","",IF(AG492="",DATADATE,AG492)-AE492)</f>
        <v/>
      </c>
      <c r="AK492" s="15">
        <f>IF(OR(AI492="",AG492&lt;&gt;""),"",IF(DATADATE&gt;AI492,"OVERDUE",""))</f>
        <v/>
      </c>
      <c r="AL492" s="15">
        <f>IF(AH492="","",IF(AH492&lt;DATADATE,"EXPIRED",IF(AH492-DATADATE&lt;=WARN_EXP,"EXPIRING","")))</f>
        <v/>
      </c>
      <c r="AM492" s="16" t="n"/>
      <c r="AN492" s="16" t="n"/>
      <c r="AO492" s="16" t="n"/>
      <c r="AP492" s="16" t="n"/>
    </row>
    <row r="493">
      <c r="A493" s="15">
        <f>IF(AA493="","",PROJ&amp;"-NOC-"&amp;Z493&amp;"-"&amp;TEXT(AA493,"0000"))</f>
        <v/>
      </c>
      <c r="B493" s="15">
        <f>IF(AA493="","",PROJ)</f>
        <v/>
      </c>
      <c r="C493" s="16" t="n"/>
      <c r="D493" s="16" t="n"/>
      <c r="E493" s="16" t="n"/>
      <c r="F493" s="16" t="n"/>
      <c r="G493" s="16" t="n"/>
      <c r="H493" s="16" t="n"/>
      <c r="I493" s="16" t="n"/>
      <c r="J493" s="16" t="n"/>
      <c r="K493" s="16" t="n"/>
      <c r="L493" s="16" t="n"/>
      <c r="M493" s="16" t="n"/>
      <c r="N493" s="16" t="n"/>
      <c r="O493" s="17" t="n"/>
      <c r="P493" s="16" t="n"/>
      <c r="Q493" s="16" t="n"/>
      <c r="R493" s="16" t="n"/>
      <c r="S493" s="16" t="n"/>
      <c r="T493" s="16" t="n"/>
      <c r="U493" s="16" t="n"/>
      <c r="V493" s="16" t="n"/>
      <c r="W493" s="16" t="n"/>
      <c r="X493" s="16" t="n"/>
      <c r="Y493" s="16" t="n"/>
      <c r="Z493" s="16" t="n"/>
      <c r="AA493" s="16" t="n"/>
      <c r="AB493" s="18" t="n"/>
      <c r="AC493" s="15">
        <f>IF(A493="","",IF(AB493=_xlfn.MAXIFS('Register'!$AB$6:$AB$505,'Register'!$A$6:$A$505,A493),"Y","N"))</f>
        <v/>
      </c>
      <c r="AD493" s="15">
        <f>IF(A493="","",COUNTIF('Register'!$A$6:$A$505,A493))</f>
        <v/>
      </c>
      <c r="AE493" s="17" t="n"/>
      <c r="AF493" s="16" t="n"/>
      <c r="AG493" s="17" t="n"/>
      <c r="AH493" s="17" t="n"/>
      <c r="AI493" s="19">
        <f>IF(AE493="","",AE493+IF(AF493="",TA_NOC,AF493))</f>
        <v/>
      </c>
      <c r="AJ493" s="15">
        <f>IF(AE493="","",IF(AG493="",DATADATE,AG493)-AE493)</f>
        <v/>
      </c>
      <c r="AK493" s="15">
        <f>IF(OR(AI493="",AG493&lt;&gt;""),"",IF(DATADATE&gt;AI493,"OVERDUE",""))</f>
        <v/>
      </c>
      <c r="AL493" s="15">
        <f>IF(AH493="","",IF(AH493&lt;DATADATE,"EXPIRED",IF(AH493-DATADATE&lt;=WARN_EXP,"EXPIRING","")))</f>
        <v/>
      </c>
      <c r="AM493" s="16" t="n"/>
      <c r="AN493" s="16" t="n"/>
      <c r="AO493" s="16" t="n"/>
      <c r="AP493" s="16" t="n"/>
    </row>
    <row r="494">
      <c r="A494" s="15">
        <f>IF(AA494="","",PROJ&amp;"-NOC-"&amp;Z494&amp;"-"&amp;TEXT(AA494,"0000"))</f>
        <v/>
      </c>
      <c r="B494" s="15">
        <f>IF(AA494="","",PROJ)</f>
        <v/>
      </c>
      <c r="C494" s="16" t="n"/>
      <c r="D494" s="16" t="n"/>
      <c r="E494" s="16" t="n"/>
      <c r="F494" s="16" t="n"/>
      <c r="G494" s="16" t="n"/>
      <c r="H494" s="16" t="n"/>
      <c r="I494" s="16" t="n"/>
      <c r="J494" s="16" t="n"/>
      <c r="K494" s="16" t="n"/>
      <c r="L494" s="16" t="n"/>
      <c r="M494" s="16" t="n"/>
      <c r="N494" s="16" t="n"/>
      <c r="O494" s="17" t="n"/>
      <c r="P494" s="16" t="n"/>
      <c r="Q494" s="16" t="n"/>
      <c r="R494" s="16" t="n"/>
      <c r="S494" s="16" t="n"/>
      <c r="T494" s="16" t="n"/>
      <c r="U494" s="16" t="n"/>
      <c r="V494" s="16" t="n"/>
      <c r="W494" s="16" t="n"/>
      <c r="X494" s="16" t="n"/>
      <c r="Y494" s="16" t="n"/>
      <c r="Z494" s="16" t="n"/>
      <c r="AA494" s="16" t="n"/>
      <c r="AB494" s="18" t="n"/>
      <c r="AC494" s="15">
        <f>IF(A494="","",IF(AB494=_xlfn.MAXIFS('Register'!$AB$6:$AB$505,'Register'!$A$6:$A$505,A494),"Y","N"))</f>
        <v/>
      </c>
      <c r="AD494" s="15">
        <f>IF(A494="","",COUNTIF('Register'!$A$6:$A$505,A494))</f>
        <v/>
      </c>
      <c r="AE494" s="17" t="n"/>
      <c r="AF494" s="16" t="n"/>
      <c r="AG494" s="17" t="n"/>
      <c r="AH494" s="17" t="n"/>
      <c r="AI494" s="19">
        <f>IF(AE494="","",AE494+IF(AF494="",TA_NOC,AF494))</f>
        <v/>
      </c>
      <c r="AJ494" s="15">
        <f>IF(AE494="","",IF(AG494="",DATADATE,AG494)-AE494)</f>
        <v/>
      </c>
      <c r="AK494" s="15">
        <f>IF(OR(AI494="",AG494&lt;&gt;""),"",IF(DATADATE&gt;AI494,"OVERDUE",""))</f>
        <v/>
      </c>
      <c r="AL494" s="15">
        <f>IF(AH494="","",IF(AH494&lt;DATADATE,"EXPIRED",IF(AH494-DATADATE&lt;=WARN_EXP,"EXPIRING","")))</f>
        <v/>
      </c>
      <c r="AM494" s="16" t="n"/>
      <c r="AN494" s="16" t="n"/>
      <c r="AO494" s="16" t="n"/>
      <c r="AP494" s="16" t="n"/>
    </row>
    <row r="495">
      <c r="A495" s="15">
        <f>IF(AA495="","",PROJ&amp;"-NOC-"&amp;Z495&amp;"-"&amp;TEXT(AA495,"0000"))</f>
        <v/>
      </c>
      <c r="B495" s="15">
        <f>IF(AA495="","",PROJ)</f>
        <v/>
      </c>
      <c r="C495" s="16" t="n"/>
      <c r="D495" s="16" t="n"/>
      <c r="E495" s="16" t="n"/>
      <c r="F495" s="16" t="n"/>
      <c r="G495" s="16" t="n"/>
      <c r="H495" s="16" t="n"/>
      <c r="I495" s="16" t="n"/>
      <c r="J495" s="16" t="n"/>
      <c r="K495" s="16" t="n"/>
      <c r="L495" s="16" t="n"/>
      <c r="M495" s="16" t="n"/>
      <c r="N495" s="16" t="n"/>
      <c r="O495" s="17" t="n"/>
      <c r="P495" s="16" t="n"/>
      <c r="Q495" s="16" t="n"/>
      <c r="R495" s="16" t="n"/>
      <c r="S495" s="16" t="n"/>
      <c r="T495" s="16" t="n"/>
      <c r="U495" s="16" t="n"/>
      <c r="V495" s="16" t="n"/>
      <c r="W495" s="16" t="n"/>
      <c r="X495" s="16" t="n"/>
      <c r="Y495" s="16" t="n"/>
      <c r="Z495" s="16" t="n"/>
      <c r="AA495" s="16" t="n"/>
      <c r="AB495" s="18" t="n"/>
      <c r="AC495" s="15">
        <f>IF(A495="","",IF(AB495=_xlfn.MAXIFS('Register'!$AB$6:$AB$505,'Register'!$A$6:$A$505,A495),"Y","N"))</f>
        <v/>
      </c>
      <c r="AD495" s="15">
        <f>IF(A495="","",COUNTIF('Register'!$A$6:$A$505,A495))</f>
        <v/>
      </c>
      <c r="AE495" s="17" t="n"/>
      <c r="AF495" s="16" t="n"/>
      <c r="AG495" s="17" t="n"/>
      <c r="AH495" s="17" t="n"/>
      <c r="AI495" s="19">
        <f>IF(AE495="","",AE495+IF(AF495="",TA_NOC,AF495))</f>
        <v/>
      </c>
      <c r="AJ495" s="15">
        <f>IF(AE495="","",IF(AG495="",DATADATE,AG495)-AE495)</f>
        <v/>
      </c>
      <c r="AK495" s="15">
        <f>IF(OR(AI495="",AG495&lt;&gt;""),"",IF(DATADATE&gt;AI495,"OVERDUE",""))</f>
        <v/>
      </c>
      <c r="AL495" s="15">
        <f>IF(AH495="","",IF(AH495&lt;DATADATE,"EXPIRED",IF(AH495-DATADATE&lt;=WARN_EXP,"EXPIRING","")))</f>
        <v/>
      </c>
      <c r="AM495" s="16" t="n"/>
      <c r="AN495" s="16" t="n"/>
      <c r="AO495" s="16" t="n"/>
      <c r="AP495" s="16" t="n"/>
    </row>
    <row r="496">
      <c r="A496" s="15">
        <f>IF(AA496="","",PROJ&amp;"-NOC-"&amp;Z496&amp;"-"&amp;TEXT(AA496,"0000"))</f>
        <v/>
      </c>
      <c r="B496" s="15">
        <f>IF(AA496="","",PROJ)</f>
        <v/>
      </c>
      <c r="C496" s="16" t="n"/>
      <c r="D496" s="16" t="n"/>
      <c r="E496" s="16" t="n"/>
      <c r="F496" s="16" t="n"/>
      <c r="G496" s="16" t="n"/>
      <c r="H496" s="16" t="n"/>
      <c r="I496" s="16" t="n"/>
      <c r="J496" s="16" t="n"/>
      <c r="K496" s="16" t="n"/>
      <c r="L496" s="16" t="n"/>
      <c r="M496" s="16" t="n"/>
      <c r="N496" s="16" t="n"/>
      <c r="O496" s="17" t="n"/>
      <c r="P496" s="16" t="n"/>
      <c r="Q496" s="16" t="n"/>
      <c r="R496" s="16" t="n"/>
      <c r="S496" s="16" t="n"/>
      <c r="T496" s="16" t="n"/>
      <c r="U496" s="16" t="n"/>
      <c r="V496" s="16" t="n"/>
      <c r="W496" s="16" t="n"/>
      <c r="X496" s="16" t="n"/>
      <c r="Y496" s="16" t="n"/>
      <c r="Z496" s="16" t="n"/>
      <c r="AA496" s="16" t="n"/>
      <c r="AB496" s="18" t="n"/>
      <c r="AC496" s="15">
        <f>IF(A496="","",IF(AB496=_xlfn.MAXIFS('Register'!$AB$6:$AB$505,'Register'!$A$6:$A$505,A496),"Y","N"))</f>
        <v/>
      </c>
      <c r="AD496" s="15">
        <f>IF(A496="","",COUNTIF('Register'!$A$6:$A$505,A496))</f>
        <v/>
      </c>
      <c r="AE496" s="17" t="n"/>
      <c r="AF496" s="16" t="n"/>
      <c r="AG496" s="17" t="n"/>
      <c r="AH496" s="17" t="n"/>
      <c r="AI496" s="19">
        <f>IF(AE496="","",AE496+IF(AF496="",TA_NOC,AF496))</f>
        <v/>
      </c>
      <c r="AJ496" s="15">
        <f>IF(AE496="","",IF(AG496="",DATADATE,AG496)-AE496)</f>
        <v/>
      </c>
      <c r="AK496" s="15">
        <f>IF(OR(AI496="",AG496&lt;&gt;""),"",IF(DATADATE&gt;AI496,"OVERDUE",""))</f>
        <v/>
      </c>
      <c r="AL496" s="15">
        <f>IF(AH496="","",IF(AH496&lt;DATADATE,"EXPIRED",IF(AH496-DATADATE&lt;=WARN_EXP,"EXPIRING","")))</f>
        <v/>
      </c>
      <c r="AM496" s="16" t="n"/>
      <c r="AN496" s="16" t="n"/>
      <c r="AO496" s="16" t="n"/>
      <c r="AP496" s="16" t="n"/>
    </row>
    <row r="497">
      <c r="A497" s="15">
        <f>IF(AA497="","",PROJ&amp;"-NOC-"&amp;Z497&amp;"-"&amp;TEXT(AA497,"0000"))</f>
        <v/>
      </c>
      <c r="B497" s="15">
        <f>IF(AA497="","",PROJ)</f>
        <v/>
      </c>
      <c r="C497" s="16" t="n"/>
      <c r="D497" s="16" t="n"/>
      <c r="E497" s="16" t="n"/>
      <c r="F497" s="16" t="n"/>
      <c r="G497" s="16" t="n"/>
      <c r="H497" s="16" t="n"/>
      <c r="I497" s="16" t="n"/>
      <c r="J497" s="16" t="n"/>
      <c r="K497" s="16" t="n"/>
      <c r="L497" s="16" t="n"/>
      <c r="M497" s="16" t="n"/>
      <c r="N497" s="16" t="n"/>
      <c r="O497" s="17" t="n"/>
      <c r="P497" s="16" t="n"/>
      <c r="Q497" s="16" t="n"/>
      <c r="R497" s="16" t="n"/>
      <c r="S497" s="16" t="n"/>
      <c r="T497" s="16" t="n"/>
      <c r="U497" s="16" t="n"/>
      <c r="V497" s="16" t="n"/>
      <c r="W497" s="16" t="n"/>
      <c r="X497" s="16" t="n"/>
      <c r="Y497" s="16" t="n"/>
      <c r="Z497" s="16" t="n"/>
      <c r="AA497" s="16" t="n"/>
      <c r="AB497" s="18" t="n"/>
      <c r="AC497" s="15">
        <f>IF(A497="","",IF(AB497=_xlfn.MAXIFS('Register'!$AB$6:$AB$505,'Register'!$A$6:$A$505,A497),"Y","N"))</f>
        <v/>
      </c>
      <c r="AD497" s="15">
        <f>IF(A497="","",COUNTIF('Register'!$A$6:$A$505,A497))</f>
        <v/>
      </c>
      <c r="AE497" s="17" t="n"/>
      <c r="AF497" s="16" t="n"/>
      <c r="AG497" s="17" t="n"/>
      <c r="AH497" s="17" t="n"/>
      <c r="AI497" s="19">
        <f>IF(AE497="","",AE497+IF(AF497="",TA_NOC,AF497))</f>
        <v/>
      </c>
      <c r="AJ497" s="15">
        <f>IF(AE497="","",IF(AG497="",DATADATE,AG497)-AE497)</f>
        <v/>
      </c>
      <c r="AK497" s="15">
        <f>IF(OR(AI497="",AG497&lt;&gt;""),"",IF(DATADATE&gt;AI497,"OVERDUE",""))</f>
        <v/>
      </c>
      <c r="AL497" s="15">
        <f>IF(AH497="","",IF(AH497&lt;DATADATE,"EXPIRED",IF(AH497-DATADATE&lt;=WARN_EXP,"EXPIRING","")))</f>
        <v/>
      </c>
      <c r="AM497" s="16" t="n"/>
      <c r="AN497" s="16" t="n"/>
      <c r="AO497" s="16" t="n"/>
      <c r="AP497" s="16" t="n"/>
    </row>
    <row r="498">
      <c r="A498" s="15">
        <f>IF(AA498="","",PROJ&amp;"-NOC-"&amp;Z498&amp;"-"&amp;TEXT(AA498,"0000"))</f>
        <v/>
      </c>
      <c r="B498" s="15">
        <f>IF(AA498="","",PROJ)</f>
        <v/>
      </c>
      <c r="C498" s="16" t="n"/>
      <c r="D498" s="16" t="n"/>
      <c r="E498" s="16" t="n"/>
      <c r="F498" s="16" t="n"/>
      <c r="G498" s="16" t="n"/>
      <c r="H498" s="16" t="n"/>
      <c r="I498" s="16" t="n"/>
      <c r="J498" s="16" t="n"/>
      <c r="K498" s="16" t="n"/>
      <c r="L498" s="16" t="n"/>
      <c r="M498" s="16" t="n"/>
      <c r="N498" s="16" t="n"/>
      <c r="O498" s="17" t="n"/>
      <c r="P498" s="16" t="n"/>
      <c r="Q498" s="16" t="n"/>
      <c r="R498" s="16" t="n"/>
      <c r="S498" s="16" t="n"/>
      <c r="T498" s="16" t="n"/>
      <c r="U498" s="16" t="n"/>
      <c r="V498" s="16" t="n"/>
      <c r="W498" s="16" t="n"/>
      <c r="X498" s="16" t="n"/>
      <c r="Y498" s="16" t="n"/>
      <c r="Z498" s="16" t="n"/>
      <c r="AA498" s="16" t="n"/>
      <c r="AB498" s="18" t="n"/>
      <c r="AC498" s="15">
        <f>IF(A498="","",IF(AB498=_xlfn.MAXIFS('Register'!$AB$6:$AB$505,'Register'!$A$6:$A$505,A498),"Y","N"))</f>
        <v/>
      </c>
      <c r="AD498" s="15">
        <f>IF(A498="","",COUNTIF('Register'!$A$6:$A$505,A498))</f>
        <v/>
      </c>
      <c r="AE498" s="17" t="n"/>
      <c r="AF498" s="16" t="n"/>
      <c r="AG498" s="17" t="n"/>
      <c r="AH498" s="17" t="n"/>
      <c r="AI498" s="19">
        <f>IF(AE498="","",AE498+IF(AF498="",TA_NOC,AF498))</f>
        <v/>
      </c>
      <c r="AJ498" s="15">
        <f>IF(AE498="","",IF(AG498="",DATADATE,AG498)-AE498)</f>
        <v/>
      </c>
      <c r="AK498" s="15">
        <f>IF(OR(AI498="",AG498&lt;&gt;""),"",IF(DATADATE&gt;AI498,"OVERDUE",""))</f>
        <v/>
      </c>
      <c r="AL498" s="15">
        <f>IF(AH498="","",IF(AH498&lt;DATADATE,"EXPIRED",IF(AH498-DATADATE&lt;=WARN_EXP,"EXPIRING","")))</f>
        <v/>
      </c>
      <c r="AM498" s="16" t="n"/>
      <c r="AN498" s="16" t="n"/>
      <c r="AO498" s="16" t="n"/>
      <c r="AP498" s="16" t="n"/>
    </row>
    <row r="499">
      <c r="A499" s="15">
        <f>IF(AA499="","",PROJ&amp;"-NOC-"&amp;Z499&amp;"-"&amp;TEXT(AA499,"0000"))</f>
        <v/>
      </c>
      <c r="B499" s="15">
        <f>IF(AA499="","",PROJ)</f>
        <v/>
      </c>
      <c r="C499" s="16" t="n"/>
      <c r="D499" s="16" t="n"/>
      <c r="E499" s="16" t="n"/>
      <c r="F499" s="16" t="n"/>
      <c r="G499" s="16" t="n"/>
      <c r="H499" s="16" t="n"/>
      <c r="I499" s="16" t="n"/>
      <c r="J499" s="16" t="n"/>
      <c r="K499" s="16" t="n"/>
      <c r="L499" s="16" t="n"/>
      <c r="M499" s="16" t="n"/>
      <c r="N499" s="16" t="n"/>
      <c r="O499" s="17" t="n"/>
      <c r="P499" s="16" t="n"/>
      <c r="Q499" s="16" t="n"/>
      <c r="R499" s="16" t="n"/>
      <c r="S499" s="16" t="n"/>
      <c r="T499" s="16" t="n"/>
      <c r="U499" s="16" t="n"/>
      <c r="V499" s="16" t="n"/>
      <c r="W499" s="16" t="n"/>
      <c r="X499" s="16" t="n"/>
      <c r="Y499" s="16" t="n"/>
      <c r="Z499" s="16" t="n"/>
      <c r="AA499" s="16" t="n"/>
      <c r="AB499" s="18" t="n"/>
      <c r="AC499" s="15">
        <f>IF(A499="","",IF(AB499=_xlfn.MAXIFS('Register'!$AB$6:$AB$505,'Register'!$A$6:$A$505,A499),"Y","N"))</f>
        <v/>
      </c>
      <c r="AD499" s="15">
        <f>IF(A499="","",COUNTIF('Register'!$A$6:$A$505,A499))</f>
        <v/>
      </c>
      <c r="AE499" s="17" t="n"/>
      <c r="AF499" s="16" t="n"/>
      <c r="AG499" s="17" t="n"/>
      <c r="AH499" s="17" t="n"/>
      <c r="AI499" s="19">
        <f>IF(AE499="","",AE499+IF(AF499="",TA_NOC,AF499))</f>
        <v/>
      </c>
      <c r="AJ499" s="15">
        <f>IF(AE499="","",IF(AG499="",DATADATE,AG499)-AE499)</f>
        <v/>
      </c>
      <c r="AK499" s="15">
        <f>IF(OR(AI499="",AG499&lt;&gt;""),"",IF(DATADATE&gt;AI499,"OVERDUE",""))</f>
        <v/>
      </c>
      <c r="AL499" s="15">
        <f>IF(AH499="","",IF(AH499&lt;DATADATE,"EXPIRED",IF(AH499-DATADATE&lt;=WARN_EXP,"EXPIRING","")))</f>
        <v/>
      </c>
      <c r="AM499" s="16" t="n"/>
      <c r="AN499" s="16" t="n"/>
      <c r="AO499" s="16" t="n"/>
      <c r="AP499" s="16" t="n"/>
    </row>
    <row r="500">
      <c r="A500" s="15">
        <f>IF(AA500="","",PROJ&amp;"-NOC-"&amp;Z500&amp;"-"&amp;TEXT(AA500,"0000"))</f>
        <v/>
      </c>
      <c r="B500" s="15">
        <f>IF(AA500="","",PROJ)</f>
        <v/>
      </c>
      <c r="C500" s="16" t="n"/>
      <c r="D500" s="16" t="n"/>
      <c r="E500" s="16" t="n"/>
      <c r="F500" s="16" t="n"/>
      <c r="G500" s="16" t="n"/>
      <c r="H500" s="16" t="n"/>
      <c r="I500" s="16" t="n"/>
      <c r="J500" s="16" t="n"/>
      <c r="K500" s="16" t="n"/>
      <c r="L500" s="16" t="n"/>
      <c r="M500" s="16" t="n"/>
      <c r="N500" s="16" t="n"/>
      <c r="O500" s="17" t="n"/>
      <c r="P500" s="16" t="n"/>
      <c r="Q500" s="16" t="n"/>
      <c r="R500" s="16" t="n"/>
      <c r="S500" s="16" t="n"/>
      <c r="T500" s="16" t="n"/>
      <c r="U500" s="16" t="n"/>
      <c r="V500" s="16" t="n"/>
      <c r="W500" s="16" t="n"/>
      <c r="X500" s="16" t="n"/>
      <c r="Y500" s="16" t="n"/>
      <c r="Z500" s="16" t="n"/>
      <c r="AA500" s="16" t="n"/>
      <c r="AB500" s="18" t="n"/>
      <c r="AC500" s="15">
        <f>IF(A500="","",IF(AB500=_xlfn.MAXIFS('Register'!$AB$6:$AB$505,'Register'!$A$6:$A$505,A500),"Y","N"))</f>
        <v/>
      </c>
      <c r="AD500" s="15">
        <f>IF(A500="","",COUNTIF('Register'!$A$6:$A$505,A500))</f>
        <v/>
      </c>
      <c r="AE500" s="17" t="n"/>
      <c r="AF500" s="16" t="n"/>
      <c r="AG500" s="17" t="n"/>
      <c r="AH500" s="17" t="n"/>
      <c r="AI500" s="19">
        <f>IF(AE500="","",AE500+IF(AF500="",TA_NOC,AF500))</f>
        <v/>
      </c>
      <c r="AJ500" s="15">
        <f>IF(AE500="","",IF(AG500="",DATADATE,AG500)-AE500)</f>
        <v/>
      </c>
      <c r="AK500" s="15">
        <f>IF(OR(AI500="",AG500&lt;&gt;""),"",IF(DATADATE&gt;AI500,"OVERDUE",""))</f>
        <v/>
      </c>
      <c r="AL500" s="15">
        <f>IF(AH500="","",IF(AH500&lt;DATADATE,"EXPIRED",IF(AH500-DATADATE&lt;=WARN_EXP,"EXPIRING","")))</f>
        <v/>
      </c>
      <c r="AM500" s="16" t="n"/>
      <c r="AN500" s="16" t="n"/>
      <c r="AO500" s="16" t="n"/>
      <c r="AP500" s="16" t="n"/>
    </row>
    <row r="501">
      <c r="A501" s="15">
        <f>IF(AA501="","",PROJ&amp;"-NOC-"&amp;Z501&amp;"-"&amp;TEXT(AA501,"0000"))</f>
        <v/>
      </c>
      <c r="B501" s="15">
        <f>IF(AA501="","",PROJ)</f>
        <v/>
      </c>
      <c r="C501" s="16" t="n"/>
      <c r="D501" s="16" t="n"/>
      <c r="E501" s="16" t="n"/>
      <c r="F501" s="16" t="n"/>
      <c r="G501" s="16" t="n"/>
      <c r="H501" s="16" t="n"/>
      <c r="I501" s="16" t="n"/>
      <c r="J501" s="16" t="n"/>
      <c r="K501" s="16" t="n"/>
      <c r="L501" s="16" t="n"/>
      <c r="M501" s="16" t="n"/>
      <c r="N501" s="16" t="n"/>
      <c r="O501" s="17" t="n"/>
      <c r="P501" s="16" t="n"/>
      <c r="Q501" s="16" t="n"/>
      <c r="R501" s="16" t="n"/>
      <c r="S501" s="16" t="n"/>
      <c r="T501" s="16" t="n"/>
      <c r="U501" s="16" t="n"/>
      <c r="V501" s="16" t="n"/>
      <c r="W501" s="16" t="n"/>
      <c r="X501" s="16" t="n"/>
      <c r="Y501" s="16" t="n"/>
      <c r="Z501" s="16" t="n"/>
      <c r="AA501" s="16" t="n"/>
      <c r="AB501" s="18" t="n"/>
      <c r="AC501" s="15">
        <f>IF(A501="","",IF(AB501=_xlfn.MAXIFS('Register'!$AB$6:$AB$505,'Register'!$A$6:$A$505,A501),"Y","N"))</f>
        <v/>
      </c>
      <c r="AD501" s="15">
        <f>IF(A501="","",COUNTIF('Register'!$A$6:$A$505,A501))</f>
        <v/>
      </c>
      <c r="AE501" s="17" t="n"/>
      <c r="AF501" s="16" t="n"/>
      <c r="AG501" s="17" t="n"/>
      <c r="AH501" s="17" t="n"/>
      <c r="AI501" s="19">
        <f>IF(AE501="","",AE501+IF(AF501="",TA_NOC,AF501))</f>
        <v/>
      </c>
      <c r="AJ501" s="15">
        <f>IF(AE501="","",IF(AG501="",DATADATE,AG501)-AE501)</f>
        <v/>
      </c>
      <c r="AK501" s="15">
        <f>IF(OR(AI501="",AG501&lt;&gt;""),"",IF(DATADATE&gt;AI501,"OVERDUE",""))</f>
        <v/>
      </c>
      <c r="AL501" s="15">
        <f>IF(AH501="","",IF(AH501&lt;DATADATE,"EXPIRED",IF(AH501-DATADATE&lt;=WARN_EXP,"EXPIRING","")))</f>
        <v/>
      </c>
      <c r="AM501" s="16" t="n"/>
      <c r="AN501" s="16" t="n"/>
      <c r="AO501" s="16" t="n"/>
      <c r="AP501" s="16" t="n"/>
    </row>
    <row r="502">
      <c r="A502" s="15">
        <f>IF(AA502="","",PROJ&amp;"-NOC-"&amp;Z502&amp;"-"&amp;TEXT(AA502,"0000"))</f>
        <v/>
      </c>
      <c r="B502" s="15">
        <f>IF(AA502="","",PROJ)</f>
        <v/>
      </c>
      <c r="C502" s="16" t="n"/>
      <c r="D502" s="16" t="n"/>
      <c r="E502" s="16" t="n"/>
      <c r="F502" s="16" t="n"/>
      <c r="G502" s="16" t="n"/>
      <c r="H502" s="16" t="n"/>
      <c r="I502" s="16" t="n"/>
      <c r="J502" s="16" t="n"/>
      <c r="K502" s="16" t="n"/>
      <c r="L502" s="16" t="n"/>
      <c r="M502" s="16" t="n"/>
      <c r="N502" s="16" t="n"/>
      <c r="O502" s="17" t="n"/>
      <c r="P502" s="16" t="n"/>
      <c r="Q502" s="16" t="n"/>
      <c r="R502" s="16" t="n"/>
      <c r="S502" s="16" t="n"/>
      <c r="T502" s="16" t="n"/>
      <c r="U502" s="16" t="n"/>
      <c r="V502" s="16" t="n"/>
      <c r="W502" s="16" t="n"/>
      <c r="X502" s="16" t="n"/>
      <c r="Y502" s="16" t="n"/>
      <c r="Z502" s="16" t="n"/>
      <c r="AA502" s="16" t="n"/>
      <c r="AB502" s="18" t="n"/>
      <c r="AC502" s="15">
        <f>IF(A502="","",IF(AB502=_xlfn.MAXIFS('Register'!$AB$6:$AB$505,'Register'!$A$6:$A$505,A502),"Y","N"))</f>
        <v/>
      </c>
      <c r="AD502" s="15">
        <f>IF(A502="","",COUNTIF('Register'!$A$6:$A$505,A502))</f>
        <v/>
      </c>
      <c r="AE502" s="17" t="n"/>
      <c r="AF502" s="16" t="n"/>
      <c r="AG502" s="17" t="n"/>
      <c r="AH502" s="17" t="n"/>
      <c r="AI502" s="19">
        <f>IF(AE502="","",AE502+IF(AF502="",TA_NOC,AF502))</f>
        <v/>
      </c>
      <c r="AJ502" s="15">
        <f>IF(AE502="","",IF(AG502="",DATADATE,AG502)-AE502)</f>
        <v/>
      </c>
      <c r="AK502" s="15">
        <f>IF(OR(AI502="",AG502&lt;&gt;""),"",IF(DATADATE&gt;AI502,"OVERDUE",""))</f>
        <v/>
      </c>
      <c r="AL502" s="15">
        <f>IF(AH502="","",IF(AH502&lt;DATADATE,"EXPIRED",IF(AH502-DATADATE&lt;=WARN_EXP,"EXPIRING","")))</f>
        <v/>
      </c>
      <c r="AM502" s="16" t="n"/>
      <c r="AN502" s="16" t="n"/>
      <c r="AO502" s="16" t="n"/>
      <c r="AP502" s="16" t="n"/>
    </row>
    <row r="503">
      <c r="A503" s="15">
        <f>IF(AA503="","",PROJ&amp;"-NOC-"&amp;Z503&amp;"-"&amp;TEXT(AA503,"0000"))</f>
        <v/>
      </c>
      <c r="B503" s="15">
        <f>IF(AA503="","",PROJ)</f>
        <v/>
      </c>
      <c r="C503" s="16" t="n"/>
      <c r="D503" s="16" t="n"/>
      <c r="E503" s="16" t="n"/>
      <c r="F503" s="16" t="n"/>
      <c r="G503" s="16" t="n"/>
      <c r="H503" s="16" t="n"/>
      <c r="I503" s="16" t="n"/>
      <c r="J503" s="16" t="n"/>
      <c r="K503" s="16" t="n"/>
      <c r="L503" s="16" t="n"/>
      <c r="M503" s="16" t="n"/>
      <c r="N503" s="16" t="n"/>
      <c r="O503" s="17" t="n"/>
      <c r="P503" s="16" t="n"/>
      <c r="Q503" s="16" t="n"/>
      <c r="R503" s="16" t="n"/>
      <c r="S503" s="16" t="n"/>
      <c r="T503" s="16" t="n"/>
      <c r="U503" s="16" t="n"/>
      <c r="V503" s="16" t="n"/>
      <c r="W503" s="16" t="n"/>
      <c r="X503" s="16" t="n"/>
      <c r="Y503" s="16" t="n"/>
      <c r="Z503" s="16" t="n"/>
      <c r="AA503" s="16" t="n"/>
      <c r="AB503" s="18" t="n"/>
      <c r="AC503" s="15">
        <f>IF(A503="","",IF(AB503=_xlfn.MAXIFS('Register'!$AB$6:$AB$505,'Register'!$A$6:$A$505,A503),"Y","N"))</f>
        <v/>
      </c>
      <c r="AD503" s="15">
        <f>IF(A503="","",COUNTIF('Register'!$A$6:$A$505,A503))</f>
        <v/>
      </c>
      <c r="AE503" s="17" t="n"/>
      <c r="AF503" s="16" t="n"/>
      <c r="AG503" s="17" t="n"/>
      <c r="AH503" s="17" t="n"/>
      <c r="AI503" s="19">
        <f>IF(AE503="","",AE503+IF(AF503="",TA_NOC,AF503))</f>
        <v/>
      </c>
      <c r="AJ503" s="15">
        <f>IF(AE503="","",IF(AG503="",DATADATE,AG503)-AE503)</f>
        <v/>
      </c>
      <c r="AK503" s="15">
        <f>IF(OR(AI503="",AG503&lt;&gt;""),"",IF(DATADATE&gt;AI503,"OVERDUE",""))</f>
        <v/>
      </c>
      <c r="AL503" s="15">
        <f>IF(AH503="","",IF(AH503&lt;DATADATE,"EXPIRED",IF(AH503-DATADATE&lt;=WARN_EXP,"EXPIRING","")))</f>
        <v/>
      </c>
      <c r="AM503" s="16" t="n"/>
      <c r="AN503" s="16" t="n"/>
      <c r="AO503" s="16" t="n"/>
      <c r="AP503" s="16" t="n"/>
    </row>
    <row r="504">
      <c r="A504" s="15">
        <f>IF(AA504="","",PROJ&amp;"-NOC-"&amp;Z504&amp;"-"&amp;TEXT(AA504,"0000"))</f>
        <v/>
      </c>
      <c r="B504" s="15">
        <f>IF(AA504="","",PROJ)</f>
        <v/>
      </c>
      <c r="C504" s="16" t="n"/>
      <c r="D504" s="16" t="n"/>
      <c r="E504" s="16" t="n"/>
      <c r="F504" s="16" t="n"/>
      <c r="G504" s="16" t="n"/>
      <c r="H504" s="16" t="n"/>
      <c r="I504" s="16" t="n"/>
      <c r="J504" s="16" t="n"/>
      <c r="K504" s="16" t="n"/>
      <c r="L504" s="16" t="n"/>
      <c r="M504" s="16" t="n"/>
      <c r="N504" s="16" t="n"/>
      <c r="O504" s="17" t="n"/>
      <c r="P504" s="16" t="n"/>
      <c r="Q504" s="16" t="n"/>
      <c r="R504" s="16" t="n"/>
      <c r="S504" s="16" t="n"/>
      <c r="T504" s="16" t="n"/>
      <c r="U504" s="16" t="n"/>
      <c r="V504" s="16" t="n"/>
      <c r="W504" s="16" t="n"/>
      <c r="X504" s="16" t="n"/>
      <c r="Y504" s="16" t="n"/>
      <c r="Z504" s="16" t="n"/>
      <c r="AA504" s="16" t="n"/>
      <c r="AB504" s="18" t="n"/>
      <c r="AC504" s="15">
        <f>IF(A504="","",IF(AB504=_xlfn.MAXIFS('Register'!$AB$6:$AB$505,'Register'!$A$6:$A$505,A504),"Y","N"))</f>
        <v/>
      </c>
      <c r="AD504" s="15">
        <f>IF(A504="","",COUNTIF('Register'!$A$6:$A$505,A504))</f>
        <v/>
      </c>
      <c r="AE504" s="17" t="n"/>
      <c r="AF504" s="16" t="n"/>
      <c r="AG504" s="17" t="n"/>
      <c r="AH504" s="17" t="n"/>
      <c r="AI504" s="19">
        <f>IF(AE504="","",AE504+IF(AF504="",TA_NOC,AF504))</f>
        <v/>
      </c>
      <c r="AJ504" s="15">
        <f>IF(AE504="","",IF(AG504="",DATADATE,AG504)-AE504)</f>
        <v/>
      </c>
      <c r="AK504" s="15">
        <f>IF(OR(AI504="",AG504&lt;&gt;""),"",IF(DATADATE&gt;AI504,"OVERDUE",""))</f>
        <v/>
      </c>
      <c r="AL504" s="15">
        <f>IF(AH504="","",IF(AH504&lt;DATADATE,"EXPIRED",IF(AH504-DATADATE&lt;=WARN_EXP,"EXPIRING","")))</f>
        <v/>
      </c>
      <c r="AM504" s="16" t="n"/>
      <c r="AN504" s="16" t="n"/>
      <c r="AO504" s="16" t="n"/>
      <c r="AP504" s="16" t="n"/>
    </row>
    <row r="505">
      <c r="A505" s="15">
        <f>IF(AA505="","",PROJ&amp;"-NOC-"&amp;Z505&amp;"-"&amp;TEXT(AA505,"0000"))</f>
        <v/>
      </c>
      <c r="B505" s="15">
        <f>IF(AA505="","",PROJ)</f>
        <v/>
      </c>
      <c r="C505" s="16" t="n"/>
      <c r="D505" s="16" t="n"/>
      <c r="E505" s="16" t="n"/>
      <c r="F505" s="16" t="n"/>
      <c r="G505" s="16" t="n"/>
      <c r="H505" s="16" t="n"/>
      <c r="I505" s="16" t="n"/>
      <c r="J505" s="16" t="n"/>
      <c r="K505" s="16" t="n"/>
      <c r="L505" s="16" t="n"/>
      <c r="M505" s="16" t="n"/>
      <c r="N505" s="16" t="n"/>
      <c r="O505" s="17" t="n"/>
      <c r="P505" s="16" t="n"/>
      <c r="Q505" s="16" t="n"/>
      <c r="R505" s="16" t="n"/>
      <c r="S505" s="16" t="n"/>
      <c r="T505" s="16" t="n"/>
      <c r="U505" s="16" t="n"/>
      <c r="V505" s="16" t="n"/>
      <c r="W505" s="16" t="n"/>
      <c r="X505" s="16" t="n"/>
      <c r="Y505" s="16" t="n"/>
      <c r="Z505" s="16" t="n"/>
      <c r="AA505" s="16" t="n"/>
      <c r="AB505" s="18" t="n"/>
      <c r="AC505" s="15">
        <f>IF(A505="","",IF(AB505=_xlfn.MAXIFS('Register'!$AB$6:$AB$505,'Register'!$A$6:$A$505,A505),"Y","N"))</f>
        <v/>
      </c>
      <c r="AD505" s="15">
        <f>IF(A505="","",COUNTIF('Register'!$A$6:$A$505,A505))</f>
        <v/>
      </c>
      <c r="AE505" s="17" t="n"/>
      <c r="AF505" s="16" t="n"/>
      <c r="AG505" s="17" t="n"/>
      <c r="AH505" s="17" t="n"/>
      <c r="AI505" s="19">
        <f>IF(AE505="","",AE505+IF(AF505="",TA_NOC,AF505))</f>
        <v/>
      </c>
      <c r="AJ505" s="15">
        <f>IF(AE505="","",IF(AG505="",DATADATE,AG505)-AE505)</f>
        <v/>
      </c>
      <c r="AK505" s="15">
        <f>IF(OR(AI505="",AG505&lt;&gt;""),"",IF(DATADATE&gt;AI505,"OVERDUE",""))</f>
        <v/>
      </c>
      <c r="AL505" s="15">
        <f>IF(AH505="","",IF(AH505&lt;DATADATE,"EXPIRED",IF(AH505-DATADATE&lt;=WARN_EXP,"EXPIRING","")))</f>
        <v/>
      </c>
      <c r="AM505" s="16" t="n"/>
      <c r="AN505" s="16" t="n"/>
      <c r="AO505" s="16" t="n"/>
      <c r="AP505" s="16" t="n"/>
    </row>
  </sheetData>
  <autoFilter ref="A5:AP505"/>
  <conditionalFormatting sqref="A6:AP505">
    <cfRule type="expression" priority="1" dxfId="0">
      <formula>LEN($AK6)&gt;0</formula>
    </cfRule>
    <cfRule type="expression" priority="2" dxfId="0">
      <formula>LEN($AL6)&gt;0</formula>
    </cfRule>
  </conditionalFormatting>
  <conditionalFormatting sqref="A6:A505">
    <cfRule type="expression" priority="3" dxfId="1">
      <formula>AND($A6&lt;&gt;"",COUNTIF($A$6:$A$505,$A6)&gt;1)</formula>
    </cfRule>
  </conditionalFormatting>
  <dataValidations count="15">
    <dataValidation sqref="D6:D505" showDropDown="0" showInputMessage="0" showErrorMessage="1" allowBlank="1" errorTitle="Gate" error="Choose a value from the list." type="list">
      <formula1>=L_GATE</formula1>
    </dataValidation>
    <dataValidation sqref="E6:E505" showDropDown="0" showInputMessage="0" showErrorMessage="1" allowBlank="1" errorTitle="Authority" error="Choose a value from the list." type="list">
      <formula1>=L_AUTHORITY</formula1>
    </dataValidation>
    <dataValidation sqref="O6:O505" showDropDown="0" showInputMessage="0" showErrorMessage="1" allowBlank="1" errorTitle="Planned date" error="Enter a date." type="date" operator="greaterThan">
      <formula1>36526</formula1>
    </dataValidation>
    <dataValidation sqref="Q6:Q505" showDropDown="0" showInputMessage="0" showErrorMessage="1" allowBlank="1" errorTitle="Authority decision" error="Choose a value from the list." type="list">
      <formula1>=L_NOCSTATUS</formula1>
    </dataValidation>
    <dataValidation sqref="U6:U505" showDropDown="0" showInputMessage="0" showErrorMessage="1" allowBlank="1" errorTitle="State" error="Choose a value from the list." type="list">
      <formula1>=L_RECSTATE</formula1>
    </dataValidation>
    <dataValidation sqref="X6:X505" showDropDown="0" showInputMessage="0" showErrorMessage="1" allowBlank="1" errorTitle="Step" error="Choose a value from the list." type="list">
      <formula1>=L_NOCGROUP</formula1>
    </dataValidation>
    <dataValidation sqref="Y6:Y505" showDropDown="0" showInputMessage="0" showErrorMessage="1" allowBlank="1" errorTitle="Jurisdiction" error="Choose a value from the list." type="list">
      <formula1>=L_JURIS</formula1>
    </dataValidation>
    <dataValidation sqref="Z6:Z505" showDropDown="0" showInputMessage="0" showErrorMessage="1" allowBlank="1" errorTitle="ROLE" error="Choose a value from the list." type="list">
      <formula1>=L_ROLE</formula1>
    </dataValidation>
    <dataValidation sqref="AA6:AA505" showDropDown="0" showInputMessage="0" showErrorMessage="1" allowBlank="1" errorTitle="Seq" error="Enter a number." type="decimal" operator="greaterThanOrEqual">
      <formula1>0</formula1>
    </dataValidation>
    <dataValidation sqref="AB6:AB505" showDropDown="0" showInputMessage="0" showErrorMessage="1" allowBlank="1" errorTitle="Rev" error="Enter a number." type="decimal" operator="greaterThanOrEqual">
      <formula1>0</formula1>
    </dataValidation>
    <dataValidation sqref="AE6:AE505" showDropDown="0" showInputMessage="0" showErrorMessage="1" allowBlank="1" errorTitle="Submitted" error="Enter a date." type="date" operator="greaterThan">
      <formula1>36526</formula1>
    </dataValidation>
    <dataValidation sqref="AF6:AF505" showDropDown="0" showInputMessage="0" showErrorMessage="1" allowBlank="1" errorTitle="Service days" error="Enter a number." type="decimal" operator="greaterThanOrEqual">
      <formula1>0</formula1>
    </dataValidation>
    <dataValidation sqref="AG6:AG505" showDropDown="0" showInputMessage="0" showErrorMessage="1" allowBlank="1" errorTitle="Decision date" error="Enter a date." type="date" operator="greaterThan">
      <formula1>36526</formula1>
    </dataValidation>
    <dataValidation sqref="AH6:AH505" showDropDown="0" showInputMessage="0" showErrorMessage="1" allowBlank="1" errorTitle="Expiry date" error="Enter a date." type="date" operator="greaterThan">
      <formula1>36526</formula1>
    </dataValidation>
    <dataValidation sqref="AM6:AM505" showDropDown="0" showInputMessage="0" showErrorMessage="1" allowBlank="1" errorTitle="Action by" error="Choose a value from the list." type="list">
      <formula1>=L_PARTY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9A7B45"/>
    <outlinePr summaryBelow="1" summaryRight="1"/>
    <pageSetUpPr/>
  </sheetPr>
  <dimension ref="A1:AP27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24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8" customWidth="1" min="9" max="9"/>
    <col width="28" customWidth="1" min="10" max="10"/>
    <col width="23" customWidth="1" min="11" max="11"/>
    <col width="15" customWidth="1" min="12" max="12"/>
    <col width="30" customWidth="1" min="13" max="13"/>
    <col width="24" customWidth="1" min="14" max="14"/>
    <col width="12" customWidth="1" min="15" max="15"/>
    <col width="11" customWidth="1" min="16" max="16"/>
    <col width="11" customWidth="1" min="17" max="17"/>
    <col width="10" customWidth="1" min="18" max="18"/>
    <col width="14" customWidth="1" min="19" max="19"/>
    <col width="10" customWidth="1" min="20" max="20"/>
    <col width="10" customWidth="1" min="21" max="21"/>
    <col width="21" customWidth="1" min="22" max="22"/>
    <col width="15" customWidth="1" min="23" max="23"/>
    <col width="10" customWidth="1" min="24" max="24"/>
    <col width="10" customWidth="1" min="25" max="25"/>
    <col width="19" customWidth="1" min="26" max="26"/>
    <col width="10" customWidth="1" min="27" max="27"/>
    <col width="18" customWidth="1" min="28" max="28"/>
    <col width="14" customWidth="1" min="29" max="29"/>
    <col width="13" customWidth="1" min="30" max="30"/>
    <col width="19" customWidth="1" min="31" max="31"/>
    <col width="10" customWidth="1" min="32" max="32"/>
    <col width="13" customWidth="1" min="33" max="33"/>
    <col width="10" customWidth="1" min="34" max="34"/>
    <col width="14" customWidth="1" min="35" max="35"/>
    <col width="30" customWidth="1" min="36" max="36"/>
    <col width="11" customWidth="1" min="37" max="37"/>
    <col width="15" customWidth="1" min="38" max="38"/>
    <col width="10" customWidth="1" min="39" max="39"/>
    <col width="18" customWidth="1" min="40" max="40"/>
    <col width="23" customWidth="1" min="41" max="41"/>
    <col width="10" customWidth="1" min="42" max="42"/>
  </cols>
  <sheetData>
    <row r="1">
      <c r="A1" s="1" t="inlineStr">
        <is>
          <t>Lists</t>
        </is>
      </c>
    </row>
    <row r="2">
      <c r="A2" s="2" t="inlineStr">
        <is>
          <t>Validation lists (one source for every drop-down). Edit only through a BBM-STD-93 change.</t>
        </is>
      </c>
    </row>
    <row r="4">
      <c r="A4" s="20" t="inlineStr">
        <is>
          <t>ROLE</t>
        </is>
      </c>
      <c r="B4" s="20" t="inlineStr">
        <is>
          <t>REVIEW</t>
        </is>
      </c>
      <c r="C4" s="20" t="inlineStr">
        <is>
          <t>CLIENTDEC</t>
        </is>
      </c>
      <c r="D4" s="20" t="inlineStr">
        <is>
          <t>SUBKIND</t>
        </is>
      </c>
      <c r="E4" s="20" t="inlineStr">
        <is>
          <t>YN</t>
        </is>
      </c>
      <c r="F4" s="20" t="inlineStr">
        <is>
          <t>YNT</t>
        </is>
      </c>
      <c r="G4" s="20" t="inlineStr">
        <is>
          <t>PRIORITY</t>
        </is>
      </c>
      <c r="H4" s="20" t="inlineStr">
        <is>
          <t>RFISTATUS</t>
        </is>
      </c>
      <c r="I4" s="20" t="inlineStr">
        <is>
          <t>PARTY</t>
        </is>
      </c>
      <c r="J4" s="20" t="inlineStr">
        <is>
          <t>NOCGROUP</t>
        </is>
      </c>
      <c r="K4" s="20" t="inlineStr">
        <is>
          <t>GATE</t>
        </is>
      </c>
      <c r="L4" s="20" t="inlineStr">
        <is>
          <t>JURIS</t>
        </is>
      </c>
      <c r="M4" s="20" t="inlineStr">
        <is>
          <t>AUTHORITY</t>
        </is>
      </c>
      <c r="N4" s="20" t="inlineStr">
        <is>
          <t>NOCSTATUS</t>
        </is>
      </c>
      <c r="O4" s="20" t="inlineStr">
        <is>
          <t>RECSTATE</t>
        </is>
      </c>
      <c r="P4" s="20" t="inlineStr">
        <is>
          <t>SUIT</t>
        </is>
      </c>
      <c r="Q4" s="20" t="inlineStr">
        <is>
          <t>CDE</t>
        </is>
      </c>
      <c r="R4" s="20" t="inlineStr">
        <is>
          <t>STAGE</t>
        </is>
      </c>
      <c r="S4" s="20" t="inlineStr">
        <is>
          <t>SISTATUS</t>
        </is>
      </c>
      <c r="T4" s="20" t="inlineStr">
        <is>
          <t>IMPACT</t>
        </is>
      </c>
      <c r="U4" s="20" t="inlineStr">
        <is>
          <t>NCRKIND</t>
        </is>
      </c>
      <c r="V4" s="20" t="inlineStr">
        <is>
          <t>NCRREF</t>
        </is>
      </c>
      <c r="W4" s="20" t="inlineStr">
        <is>
          <t>ROOT</t>
        </is>
      </c>
      <c r="X4" s="20" t="inlineStr">
        <is>
          <t>SEV</t>
        </is>
      </c>
      <c r="Y4" s="20" t="inlineStr">
        <is>
          <t>AGREE</t>
        </is>
      </c>
      <c r="Z4" s="20" t="inlineStr">
        <is>
          <t>DECISION3</t>
        </is>
      </c>
      <c r="AA4" s="20" t="inlineStr">
        <is>
          <t>VOKIND</t>
        </is>
      </c>
      <c r="AB4" s="20" t="inlineStr">
        <is>
          <t>VOSTATUS</t>
        </is>
      </c>
      <c r="AC4" s="20" t="inlineStr">
        <is>
          <t>MTYPE</t>
        </is>
      </c>
      <c r="AD4" s="20" t="inlineStr">
        <is>
          <t>ACTSTATUS</t>
        </is>
      </c>
      <c r="AE4" s="20" t="inlineStr">
        <is>
          <t>DCNORIGIN</t>
        </is>
      </c>
      <c r="AF4" s="20" t="inlineStr">
        <is>
          <t>DCNDEC</t>
        </is>
      </c>
      <c r="AG4" s="20" t="inlineStr">
        <is>
          <t>DELSTATUS</t>
        </is>
      </c>
      <c r="AH4" s="20" t="inlineStr">
        <is>
          <t>IRKIND</t>
        </is>
      </c>
      <c r="AI4" s="20" t="inlineStr">
        <is>
          <t>HOLDPT</t>
        </is>
      </c>
      <c r="AJ4" s="20" t="inlineStr">
        <is>
          <t>HOCAT</t>
        </is>
      </c>
      <c r="AK4" s="20" t="inlineStr">
        <is>
          <t>FORMAT</t>
        </is>
      </c>
      <c r="AL4" s="20" t="inlineStr">
        <is>
          <t>HOSTATUS</t>
        </is>
      </c>
      <c r="AM4" s="20" t="inlineStr">
        <is>
          <t>CMTLEVEL</t>
        </is>
      </c>
      <c r="AN4" s="20" t="inlineStr">
        <is>
          <t>REVIEWER</t>
        </is>
      </c>
      <c r="AO4" s="20" t="inlineStr">
        <is>
          <t>DISPO</t>
        </is>
      </c>
      <c r="AP4" s="20" t="inlineStr">
        <is>
          <t>OPENCLOSED</t>
        </is>
      </c>
    </row>
    <row r="5">
      <c r="A5" s="21" t="inlineStr">
        <is>
          <t>A</t>
        </is>
      </c>
      <c r="B5" s="21" t="inlineStr">
        <is>
          <t>A</t>
        </is>
      </c>
      <c r="C5" s="21" t="inlineStr">
        <is>
          <t>No objection - proceed</t>
        </is>
      </c>
      <c r="D5" s="21" t="inlineStr">
        <is>
          <t>MS</t>
        </is>
      </c>
      <c r="E5" s="21" t="inlineStr">
        <is>
          <t>Y</t>
        </is>
      </c>
      <c r="F5" s="21" t="inlineStr">
        <is>
          <t>Yes</t>
        </is>
      </c>
      <c r="G5" s="21" t="inlineStr">
        <is>
          <t>High</t>
        </is>
      </c>
      <c r="H5" s="21" t="inlineStr">
        <is>
          <t>Open</t>
        </is>
      </c>
      <c r="I5" s="21" t="inlineStr">
        <is>
          <t>Client</t>
        </is>
      </c>
      <c r="J5" s="21" t="inlineStr">
        <is>
          <t>1 Project registration</t>
        </is>
      </c>
      <c r="K5" s="21" t="inlineStr">
        <is>
          <t>Concept/planning</t>
        </is>
      </c>
      <c r="L5" s="21" t="inlineStr">
        <is>
          <t>Dubai</t>
        </is>
      </c>
      <c r="M5" s="21" t="inlineStr">
        <is>
          <t>DM Dubai Municipality</t>
        </is>
      </c>
      <c r="N5" s="21" t="inlineStr">
        <is>
          <t>Unverified</t>
        </is>
      </c>
      <c r="O5" s="21" t="inlineStr">
        <is>
          <t>Draft</t>
        </is>
      </c>
      <c r="P5" s="21" t="inlineStr">
        <is>
          <t>SU-WIP</t>
        </is>
      </c>
      <c r="Q5" s="21" t="inlineStr">
        <is>
          <t>WIP</t>
        </is>
      </c>
      <c r="R5" s="21" t="inlineStr">
        <is>
          <t>0</t>
        </is>
      </c>
      <c r="S5" s="21" t="inlineStr">
        <is>
          <t>Issued</t>
        </is>
      </c>
      <c r="T5" s="21" t="inlineStr">
        <is>
          <t>None</t>
        </is>
      </c>
      <c r="U5" s="21" t="inlineStr">
        <is>
          <t>SOR</t>
        </is>
      </c>
      <c r="V5" s="21" t="inlineStr">
        <is>
          <t>Specification</t>
        </is>
      </c>
      <c r="W5" s="21" t="inlineStr">
        <is>
          <t>Workmanship</t>
        </is>
      </c>
      <c r="X5" s="21" t="inlineStr">
        <is>
          <t>Major</t>
        </is>
      </c>
      <c r="Y5" s="21" t="inlineStr">
        <is>
          <t>Agree</t>
        </is>
      </c>
      <c r="Z5" s="21" t="inlineStr">
        <is>
          <t>Approved</t>
        </is>
      </c>
      <c r="AA5" s="21" t="inlineStr">
        <is>
          <t>VI</t>
        </is>
      </c>
      <c r="AB5" s="21" t="inlineStr">
        <is>
          <t>Draft</t>
        </is>
      </c>
      <c r="AC5" s="21" t="inlineStr">
        <is>
          <t>Progress</t>
        </is>
      </c>
      <c r="AD5" s="21" t="inlineStr">
        <is>
          <t>Open</t>
        </is>
      </c>
      <c r="AE5" s="21" t="inlineStr">
        <is>
          <t>Client</t>
        </is>
      </c>
      <c r="AF5" s="21" t="inlineStr">
        <is>
          <t>Pending</t>
        </is>
      </c>
      <c r="AG5" s="21" t="inlineStr">
        <is>
          <t>Not started</t>
        </is>
      </c>
      <c r="AH5" s="21" t="inlineStr">
        <is>
          <t>WIR</t>
        </is>
      </c>
      <c r="AI5" s="21" t="inlineStr">
        <is>
          <t>Hold</t>
        </is>
      </c>
      <c r="AJ5" s="21" t="inlineStr">
        <is>
          <t>O&amp;M manual</t>
        </is>
      </c>
      <c r="AK5" s="21" t="inlineStr">
        <is>
          <t>Hard copy</t>
        </is>
      </c>
      <c r="AL5" s="21" t="inlineStr">
        <is>
          <t>Not submitted</t>
        </is>
      </c>
      <c r="AM5" s="21" t="inlineStr">
        <is>
          <t>0</t>
        </is>
      </c>
      <c r="AN5" s="21" t="inlineStr">
        <is>
          <t>Client</t>
        </is>
      </c>
      <c r="AO5" s="21" t="inlineStr">
        <is>
          <t>Accepted</t>
        </is>
      </c>
      <c r="AP5" s="21" t="inlineStr">
        <is>
          <t>Open</t>
        </is>
      </c>
    </row>
    <row r="6">
      <c r="A6" s="21" t="inlineStr">
        <is>
          <t>S</t>
        </is>
      </c>
      <c r="B6" s="21" t="inlineStr">
        <is>
          <t>B</t>
        </is>
      </c>
      <c r="C6" s="21" t="inlineStr">
        <is>
          <t>Objection - resubmit</t>
        </is>
      </c>
      <c r="D6" s="21" t="inlineStr">
        <is>
          <t>SD</t>
        </is>
      </c>
      <c r="E6" s="21" t="inlineStr">
        <is>
          <t>N</t>
        </is>
      </c>
      <c r="F6" s="21" t="inlineStr">
        <is>
          <t>No</t>
        </is>
      </c>
      <c r="G6" s="21" t="inlineStr">
        <is>
          <t>Normal</t>
        </is>
      </c>
      <c r="H6" s="21" t="inlineStr">
        <is>
          <t>Answered</t>
        </is>
      </c>
      <c r="I6" s="21" t="inlineStr">
        <is>
          <t>PMC</t>
        </is>
      </c>
      <c r="J6" s="21" t="inlineStr">
        <is>
          <t>2 Studies</t>
        </is>
      </c>
      <c r="K6" s="21" t="inlineStr">
        <is>
          <t>Permit/final design</t>
        </is>
      </c>
      <c r="L6" s="21" t="inlineStr">
        <is>
          <t>Abu Dhabi</t>
        </is>
      </c>
      <c r="M6" s="21" t="inlineStr">
        <is>
          <t>DDA</t>
        </is>
      </c>
      <c r="N6" s="21" t="inlineStr">
        <is>
          <t>Planned</t>
        </is>
      </c>
      <c r="O6" s="21" t="inlineStr">
        <is>
          <t>Active</t>
        </is>
      </c>
      <c r="P6" s="21" t="inlineStr">
        <is>
          <t>SU-COORD</t>
        </is>
      </c>
      <c r="Q6" s="21" t="inlineStr">
        <is>
          <t>Shared</t>
        </is>
      </c>
      <c r="R6" s="21" t="inlineStr">
        <is>
          <t>1</t>
        </is>
      </c>
      <c r="S6" s="21" t="inlineStr">
        <is>
          <t>Acknowledged</t>
        </is>
      </c>
      <c r="T6" s="21" t="inlineStr">
        <is>
          <t>Possible</t>
        </is>
      </c>
      <c r="U6" s="21" t="inlineStr">
        <is>
          <t>FO</t>
        </is>
      </c>
      <c r="V6" s="21" t="inlineStr">
        <is>
          <t>Design drawing</t>
        </is>
      </c>
      <c r="W6" s="21" t="inlineStr">
        <is>
          <t>Material</t>
        </is>
      </c>
      <c r="X6" s="21" t="inlineStr">
        <is>
          <t>Minor</t>
        </is>
      </c>
      <c r="Y6" s="21" t="inlineStr">
        <is>
          <t>Disagree</t>
        </is>
      </c>
      <c r="Z6" s="21" t="inlineStr">
        <is>
          <t>Approved as noted</t>
        </is>
      </c>
      <c r="AA6" s="21" t="inlineStr">
        <is>
          <t>VP</t>
        </is>
      </c>
      <c r="AB6" s="21" t="inlineStr">
        <is>
          <t>Under evaluation</t>
        </is>
      </c>
      <c r="AC6" s="21" t="inlineStr">
        <is>
          <t>Design</t>
        </is>
      </c>
      <c r="AD6" s="21" t="inlineStr">
        <is>
          <t>In progress</t>
        </is>
      </c>
      <c r="AE6" s="21" t="inlineStr">
        <is>
          <t>Authority</t>
        </is>
      </c>
      <c r="AF6" s="21" t="inlineStr">
        <is>
          <t>Approved</t>
        </is>
      </c>
      <c r="AG6" s="21" t="inlineStr">
        <is>
          <t>In progress</t>
        </is>
      </c>
      <c r="AH6" s="21" t="inlineStr">
        <is>
          <t>MIR</t>
        </is>
      </c>
      <c r="AI6" s="21" t="inlineStr">
        <is>
          <t>Witness</t>
        </is>
      </c>
      <c r="AJ6" s="21" t="inlineStr">
        <is>
          <t>As-built drawings</t>
        </is>
      </c>
      <c r="AK6" s="21" t="inlineStr">
        <is>
          <t>Soft copy</t>
        </is>
      </c>
      <c r="AL6" s="21" t="inlineStr">
        <is>
          <t>Submitted</t>
        </is>
      </c>
      <c r="AM6" s="21" t="inlineStr">
        <is>
          <t>1</t>
        </is>
      </c>
      <c r="AN6" s="21" t="inlineStr">
        <is>
          <t>PMC</t>
        </is>
      </c>
      <c r="AO6" s="21" t="inlineStr">
        <is>
          <t>Not accepted</t>
        </is>
      </c>
      <c r="AP6" s="21" t="inlineStr">
        <is>
          <t>Closed</t>
        </is>
      </c>
    </row>
    <row r="7">
      <c r="A7" s="21" t="inlineStr">
        <is>
          <t>M</t>
        </is>
      </c>
      <c r="B7" s="21" t="inlineStr">
        <is>
          <t>C</t>
        </is>
      </c>
      <c r="C7" s="21" t="inlineStr">
        <is>
          <t>Not required</t>
        </is>
      </c>
      <c r="D7" s="21" t="inlineStr">
        <is>
          <t>MT</t>
        </is>
      </c>
      <c r="F7" s="21" t="inlineStr">
        <is>
          <t>TBC</t>
        </is>
      </c>
      <c r="G7" s="21" t="inlineStr">
        <is>
          <t>Low</t>
        </is>
      </c>
      <c r="H7" s="21" t="inlineStr">
        <is>
          <t>Closed</t>
        </is>
      </c>
      <c r="I7" s="21" t="inlineStr">
        <is>
          <t>Design architect</t>
        </is>
      </c>
      <c r="J7" s="21" t="inlineStr">
        <is>
          <t>3 NOCs and affection plan</t>
        </is>
      </c>
      <c r="K7" s="21" t="inlineStr">
        <is>
          <t>Construction activity</t>
        </is>
      </c>
      <c r="L7" s="21" t="inlineStr">
        <is>
          <t>Sharjah</t>
        </is>
      </c>
      <c r="M7" s="21" t="inlineStr">
        <is>
          <t>Trakhees</t>
        </is>
      </c>
      <c r="N7" s="21" t="inlineStr">
        <is>
          <t>Submitted</t>
        </is>
      </c>
      <c r="O7" s="21" t="inlineStr">
        <is>
          <t>Superseded</t>
        </is>
      </c>
      <c r="P7" s="21" t="inlineStr">
        <is>
          <t>SU-INFO</t>
        </is>
      </c>
      <c r="Q7" s="21" t="inlineStr">
        <is>
          <t>Published</t>
        </is>
      </c>
      <c r="R7" s="21" t="inlineStr">
        <is>
          <t>2</t>
        </is>
      </c>
      <c r="S7" s="21" t="inlineStr">
        <is>
          <t>Executed</t>
        </is>
      </c>
      <c r="T7" s="21" t="inlineStr">
        <is>
          <t>Yes</t>
        </is>
      </c>
      <c r="U7" s="21" t="inlineStr">
        <is>
          <t>NCR</t>
        </is>
      </c>
      <c r="V7" s="21" t="inlineStr">
        <is>
          <t>Shop drawing</t>
        </is>
      </c>
      <c r="W7" s="21" t="inlineStr">
        <is>
          <t>Method</t>
        </is>
      </c>
      <c r="Z7" s="21" t="inlineStr">
        <is>
          <t>Not approved</t>
        </is>
      </c>
      <c r="AA7" s="21" t="inlineStr">
        <is>
          <t>VC</t>
        </is>
      </c>
      <c r="AB7" s="21" t="inlineStr">
        <is>
          <t>Recommended</t>
        </is>
      </c>
      <c r="AC7" s="21" t="inlineStr">
        <is>
          <t>Coordination</t>
        </is>
      </c>
      <c r="AD7" s="21" t="inlineStr">
        <is>
          <t>Closed</t>
        </is>
      </c>
      <c r="AE7" s="21" t="inlineStr">
        <is>
          <t>Consultant</t>
        </is>
      </c>
      <c r="AF7" s="21" t="inlineStr">
        <is>
          <t>Rejected</t>
        </is>
      </c>
      <c r="AG7" s="21" t="inlineStr">
        <is>
          <t>Shared</t>
        </is>
      </c>
      <c r="AI7" s="21" t="inlineStr">
        <is>
          <t>Surveillance</t>
        </is>
      </c>
      <c r="AJ7" s="21" t="inlineStr">
        <is>
          <t>Warranty / guarantee</t>
        </is>
      </c>
      <c r="AK7" s="21" t="inlineStr">
        <is>
          <t>Both</t>
        </is>
      </c>
      <c r="AL7" s="21" t="inlineStr">
        <is>
          <t>Under review</t>
        </is>
      </c>
      <c r="AM7" s="21" t="inlineStr">
        <is>
          <t>2</t>
        </is>
      </c>
      <c r="AN7" s="21" t="inlineStr">
        <is>
          <t>Authority</t>
        </is>
      </c>
      <c r="AO7" s="21" t="inlineStr">
        <is>
          <t>Carried to next stage</t>
        </is>
      </c>
    </row>
    <row r="8">
      <c r="A8" s="21" t="inlineStr">
        <is>
          <t>E</t>
        </is>
      </c>
      <c r="B8" s="21" t="inlineStr">
        <is>
          <t>D</t>
        </is>
      </c>
      <c r="D8" s="21" t="inlineStr">
        <is>
          <t>SC</t>
        </is>
      </c>
      <c r="H8" s="21" t="inlineStr">
        <is>
          <t>Void</t>
        </is>
      </c>
      <c r="I8" s="21" t="inlineStr">
        <is>
          <t>Consultant</t>
        </is>
      </c>
      <c r="J8" s="21" t="inlineStr">
        <is>
          <t>4 Preparatory approvals</t>
        </is>
      </c>
      <c r="K8" s="21" t="inlineStr">
        <is>
          <t>Completion/operation</t>
        </is>
      </c>
      <c r="L8" s="21" t="inlineStr">
        <is>
          <t>Other emirate</t>
        </is>
      </c>
      <c r="M8" s="21" t="inlineStr">
        <is>
          <t>Dubai Civil Defence</t>
        </is>
      </c>
      <c r="N8" s="21" t="inlineStr">
        <is>
          <t>Conditionally approved</t>
        </is>
      </c>
      <c r="O8" s="21" t="inlineStr">
        <is>
          <t>Closed</t>
        </is>
      </c>
      <c r="P8" s="21" t="inlineStr">
        <is>
          <t>SU-REVIEW</t>
        </is>
      </c>
      <c r="Q8" s="21" t="inlineStr">
        <is>
          <t>Archive</t>
        </is>
      </c>
      <c r="R8" s="21" t="inlineStr">
        <is>
          <t>3</t>
        </is>
      </c>
      <c r="S8" s="21" t="inlineStr">
        <is>
          <t>Closed</t>
        </is>
      </c>
      <c r="V8" s="21" t="inlineStr">
        <is>
          <t>Technical submittal</t>
        </is>
      </c>
      <c r="W8" s="21" t="inlineStr">
        <is>
          <t>Design</t>
        </is>
      </c>
      <c r="AA8" s="21" t="inlineStr">
        <is>
          <t>VS</t>
        </is>
      </c>
      <c r="AB8" s="21" t="inlineStr">
        <is>
          <t>Approved</t>
        </is>
      </c>
      <c r="AC8" s="21" t="inlineStr">
        <is>
          <t>Authority</t>
        </is>
      </c>
      <c r="AD8" s="21" t="inlineStr">
        <is>
          <t>Carried</t>
        </is>
      </c>
      <c r="AE8" s="21" t="inlineStr">
        <is>
          <t>Contractor</t>
        </is>
      </c>
      <c r="AF8" s="21" t="inlineStr">
        <is>
          <t>Deferred</t>
        </is>
      </c>
      <c r="AG8" s="21" t="inlineStr">
        <is>
          <t>Submitted</t>
        </is>
      </c>
      <c r="AJ8" s="21" t="inlineStr">
        <is>
          <t>Spare parts</t>
        </is>
      </c>
      <c r="AL8" s="21" t="inlineStr">
        <is>
          <t>Approved</t>
        </is>
      </c>
      <c r="AM8" s="21" t="inlineStr">
        <is>
          <t>3</t>
        </is>
      </c>
      <c r="AN8" s="21" t="inlineStr">
        <is>
          <t>Design architect</t>
        </is>
      </c>
    </row>
    <row r="9">
      <c r="A9" s="21" t="inlineStr">
        <is>
          <t>L</t>
        </is>
      </c>
      <c r="B9" s="21" t="inlineStr">
        <is>
          <t>E</t>
        </is>
      </c>
      <c r="D9" s="21" t="inlineStr">
        <is>
          <t>SP</t>
        </is>
      </c>
      <c r="I9" s="21" t="inlineStr">
        <is>
          <t>Contractor</t>
        </is>
      </c>
      <c r="J9" s="21" t="inlineStr">
        <is>
          <t>5 Access approvals</t>
        </is>
      </c>
      <c r="K9" s="21" t="inlineStr">
        <is>
          <t>None</t>
        </is>
      </c>
      <c r="L9" s="21" t="inlineStr">
        <is>
          <t>Free zone</t>
        </is>
      </c>
      <c r="M9" s="21" t="inlineStr">
        <is>
          <t>DEWA</t>
        </is>
      </c>
      <c r="N9" s="21" t="inlineStr">
        <is>
          <t>Approved</t>
        </is>
      </c>
      <c r="O9" s="21" t="inlineStr">
        <is>
          <t>Void</t>
        </is>
      </c>
      <c r="P9" s="21" t="inlineStr">
        <is>
          <t>SU-ISSUE</t>
        </is>
      </c>
      <c r="R9" s="21" t="inlineStr">
        <is>
          <t>4</t>
        </is>
      </c>
      <c r="S9" s="21" t="inlineStr">
        <is>
          <t>Cancelled</t>
        </is>
      </c>
      <c r="V9" s="21" t="inlineStr">
        <is>
          <t>Method statement</t>
        </is>
      </c>
      <c r="W9" s="21" t="inlineStr">
        <is>
          <t>Supervision</t>
        </is>
      </c>
      <c r="AB9" s="21" t="inlineStr">
        <is>
          <t>Rejected</t>
        </is>
      </c>
      <c r="AC9" s="21" t="inlineStr">
        <is>
          <t>Client</t>
        </is>
      </c>
      <c r="AD9" s="21" t="inlineStr">
        <is>
          <t>Dropped</t>
        </is>
      </c>
      <c r="AE9" s="21" t="inlineStr">
        <is>
          <t>Value engineering</t>
        </is>
      </c>
      <c r="AG9" s="21" t="inlineStr">
        <is>
          <t>Accepted</t>
        </is>
      </c>
      <c r="AJ9" s="21" t="inlineStr">
        <is>
          <t>Extra material</t>
        </is>
      </c>
      <c r="AL9" s="21" t="inlineStr">
        <is>
          <t>Rejected</t>
        </is>
      </c>
      <c r="AM9" s="21" t="inlineStr">
        <is>
          <t>4</t>
        </is>
      </c>
      <c r="AN9" s="21" t="inlineStr">
        <is>
          <t>Peer</t>
        </is>
      </c>
    </row>
    <row r="10">
      <c r="A10" s="21" t="inlineStr">
        <is>
          <t>P</t>
        </is>
      </c>
      <c r="B10" s="21" t="inlineStr">
        <is>
          <t>UR</t>
        </is>
      </c>
      <c r="D10" s="21" t="inlineStr">
        <is>
          <t>AB</t>
        </is>
      </c>
      <c r="I10" s="21" t="inlineStr">
        <is>
          <t>Subcontractor</t>
        </is>
      </c>
      <c r="J10" s="21" t="inlineStr">
        <is>
          <t>6 Municipality submissions</t>
        </is>
      </c>
      <c r="M10" s="21" t="inlineStr">
        <is>
          <t>RTA</t>
        </is>
      </c>
      <c r="N10" s="21" t="inlineStr">
        <is>
          <t>Rejected</t>
        </is>
      </c>
      <c r="R10" s="21" t="inlineStr">
        <is>
          <t>5</t>
        </is>
      </c>
      <c r="V10" s="21" t="inlineStr">
        <is>
          <t>Other</t>
        </is>
      </c>
      <c r="W10" s="21" t="inlineStr">
        <is>
          <t>Subcontractor</t>
        </is>
      </c>
      <c r="AB10" s="21" t="inlineStr">
        <is>
          <t>Withdrawn</t>
        </is>
      </c>
      <c r="AC10" s="21" t="inlineStr">
        <is>
          <t>Site</t>
        </is>
      </c>
      <c r="AE10" s="21" t="inlineStr">
        <is>
          <t>Coordination</t>
        </is>
      </c>
      <c r="AG10" s="21" t="inlineStr">
        <is>
          <t>Rejected</t>
        </is>
      </c>
      <c r="AJ10" s="21" t="inlineStr">
        <is>
          <t>Keys and access cards</t>
        </is>
      </c>
      <c r="AN10" s="21" t="inlineStr">
        <is>
          <t>Internal L1</t>
        </is>
      </c>
    </row>
    <row r="11">
      <c r="A11" s="21" t="inlineStr">
        <is>
          <t>F</t>
        </is>
      </c>
      <c r="D11" s="21" t="inlineStr">
        <is>
          <t>TS</t>
        </is>
      </c>
      <c r="I11" s="21" t="inlineStr">
        <is>
          <t>Supplier</t>
        </is>
      </c>
      <c r="J11" s="21" t="inlineStr">
        <is>
          <t>7 Design approvals</t>
        </is>
      </c>
      <c r="M11" s="21" t="inlineStr">
        <is>
          <t>DMT municipality (ADM/AAM/DRM)</t>
        </is>
      </c>
      <c r="N11" s="21" t="inlineStr">
        <is>
          <t>Expired</t>
        </is>
      </c>
      <c r="R11" s="21" t="inlineStr">
        <is>
          <t>6</t>
        </is>
      </c>
      <c r="W11" s="21" t="inlineStr">
        <is>
          <t>Equipment</t>
        </is>
      </c>
      <c r="AC11" s="21" t="inlineStr">
        <is>
          <t>Internal</t>
        </is>
      </c>
      <c r="AG11" s="21" t="inlineStr">
        <is>
          <t>On hold</t>
        </is>
      </c>
      <c r="AJ11" s="21" t="inlineStr">
        <is>
          <t>Testing and commissioning</t>
        </is>
      </c>
      <c r="AN11" s="21" t="inlineStr">
        <is>
          <t>Internal L2</t>
        </is>
      </c>
    </row>
    <row r="12">
      <c r="A12" s="21" t="inlineStr">
        <is>
          <t>I</t>
        </is>
      </c>
      <c r="D12" s="21" t="inlineStr">
        <is>
          <t>DS</t>
        </is>
      </c>
      <c r="I12" s="21" t="inlineStr">
        <is>
          <t>Authority</t>
        </is>
      </c>
      <c r="J12" s="21" t="inlineStr">
        <is>
          <t>8 Construction</t>
        </is>
      </c>
      <c r="M12" s="21" t="inlineStr">
        <is>
          <t>DMT planning (UPC)</t>
        </is>
      </c>
      <c r="N12" s="21" t="inlineStr">
        <is>
          <t>Not applicable</t>
        </is>
      </c>
      <c r="R12" s="21" t="inlineStr">
        <is>
          <t>7</t>
        </is>
      </c>
      <c r="W12" s="21" t="inlineStr">
        <is>
          <t>Documentation</t>
        </is>
      </c>
      <c r="AJ12" s="21" t="inlineStr">
        <is>
          <t>Training record</t>
        </is>
      </c>
      <c r="AN12" s="21" t="inlineStr">
        <is>
          <t>Internal L3</t>
        </is>
      </c>
    </row>
    <row r="13">
      <c r="A13" s="21" t="inlineStr">
        <is>
          <t>C</t>
        </is>
      </c>
      <c r="J13" s="21" t="inlineStr">
        <is>
          <t>9 Completion</t>
        </is>
      </c>
      <c r="M13" s="21" t="inlineStr">
        <is>
          <t>DMT Estidama</t>
        </is>
      </c>
      <c r="W13" s="21" t="inlineStr">
        <is>
          <t>Other</t>
        </is>
      </c>
      <c r="AJ13" s="21" t="inlineStr">
        <is>
          <t>Authority completion certificate</t>
        </is>
      </c>
    </row>
    <row r="14">
      <c r="A14" s="21" t="inlineStr">
        <is>
          <t>G</t>
        </is>
      </c>
      <c r="M14" s="21" t="inlineStr">
        <is>
          <t>ITC Abu Dhabi</t>
        </is>
      </c>
      <c r="AJ14" s="21" t="inlineStr">
        <is>
          <t>Asset register / COBie</t>
        </is>
      </c>
    </row>
    <row r="15">
      <c r="A15" s="21" t="inlineStr">
        <is>
          <t>Q</t>
        </is>
      </c>
      <c r="M15" s="21" t="inlineStr">
        <is>
          <t>Abu Dhabi Civil Defence</t>
        </is>
      </c>
      <c r="AJ15" s="21" t="inlineStr">
        <is>
          <t>Decennial liability documents</t>
        </is>
      </c>
    </row>
    <row r="16">
      <c r="A16" s="21" t="inlineStr">
        <is>
          <t>W</t>
        </is>
      </c>
      <c r="M16" s="21" t="inlineStr">
        <is>
          <t>TAQA Distribution</t>
        </is>
      </c>
      <c r="AJ16" s="21" t="inlineStr">
        <is>
          <t>Snag list close-out</t>
        </is>
      </c>
    </row>
    <row r="17">
      <c r="A17" s="21" t="inlineStr">
        <is>
          <t>Z</t>
        </is>
      </c>
      <c r="M17" s="21" t="inlineStr">
        <is>
          <t>TAQA Water Solutions</t>
        </is>
      </c>
    </row>
    <row r="18">
      <c r="M18" s="21" t="inlineStr">
        <is>
          <t>Transco</t>
        </is>
      </c>
    </row>
    <row r="19">
      <c r="M19" s="21" t="inlineStr">
        <is>
          <t>EAD</t>
        </is>
      </c>
    </row>
    <row r="20">
      <c r="M20" s="21" t="inlineStr">
        <is>
          <t>AD Police</t>
        </is>
      </c>
    </row>
    <row r="21">
      <c r="M21" s="21" t="inlineStr">
        <is>
          <t>Etisalat (e&amp;)</t>
        </is>
      </c>
    </row>
    <row r="22">
      <c r="M22" s="21" t="inlineStr">
        <is>
          <t>du</t>
        </is>
      </c>
    </row>
    <row r="23">
      <c r="M23" s="21" t="inlineStr">
        <is>
          <t>Awqaf</t>
        </is>
      </c>
    </row>
    <row r="24">
      <c r="M24" s="21" t="inlineStr">
        <is>
          <t>Gas network operator</t>
        </is>
      </c>
    </row>
    <row r="25">
      <c r="M25" s="21" t="inlineStr">
        <is>
          <t>Master developer / landlord</t>
        </is>
      </c>
    </row>
    <row r="26">
      <c r="M26" s="21" t="inlineStr">
        <is>
          <t>Free zone authority</t>
        </is>
      </c>
    </row>
    <row r="27">
      <c r="M27" s="21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BABOOM BIM team</dc:creator>
  <dc:title xmlns:dc="http://purl.org/dc/elements/1.1/">TRK-NOC Authority submissions and NOC register (BBM-STD-57 submission register in working form)</dc:title>
  <dcterms:created xmlns:dcterms="http://purl.org/dc/terms/" xmlns:xsi="http://www.w3.org/2001/XMLSchema-instance" xsi:type="dcterms:W3CDTF">2026-11-05T13:56:33Z</dcterms:created>
  <dcterms:modified xmlns:dcterms="http://purl.org/dc/terms/" xmlns:xsi="http://www.w3.org/2001/XMLSchema-instance" xsi:type="dcterms:W3CDTF">2026-11-05T13:56:34Z</dcterms:modified>
</cp:coreProperties>
</file>